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ACC" sheetId="1" r:id="rId4"/>
  </sheets>
  <definedNames>
    <definedName localSheetId="0" name="TotalEstColumnName">PACC!$E:$E</definedName>
    <definedName localSheetId="0" name="ObjetoContratacionOculto">PACC!$H:$H</definedName>
    <definedName localSheetId="0" name="ObjetoContratacion">PACC!$C:$C</definedName>
    <definedName localSheetId="0" name="TotalEstArea">PACC!$K:$M</definedName>
    <definedName localSheetId="0" name="MIPYMEOculto">PACC!$I:$I</definedName>
    <definedName localSheetId="0" name="TotalEstColumnValue">PACC!$F:$F</definedName>
    <definedName localSheetId="0" name="ProcedimientoOculto">PACC!$J:$J</definedName>
  </definedNames>
  <calcPr/>
</workbook>
</file>

<file path=xl/sharedStrings.xml><?xml version="1.0" encoding="utf-8"?>
<sst xmlns="http://schemas.openxmlformats.org/spreadsheetml/2006/main" count="1733" uniqueCount="293">
  <si>
    <t xml:space="preserve">PLAN ANUAL DE COMPRAS Y CONTRATACIONES 
</t>
  </si>
  <si>
    <t>SNCC.F.069</t>
  </si>
  <si>
    <t xml:space="preserve">Capítulo </t>
  </si>
  <si>
    <t>0201</t>
  </si>
  <si>
    <t>Version: 1.0.0</t>
  </si>
  <si>
    <t>Sub Capítulo</t>
  </si>
  <si>
    <t>02</t>
  </si>
  <si>
    <t>Unidad Ejecutora</t>
  </si>
  <si>
    <t>0010</t>
  </si>
  <si>
    <t>Cantidad Procesos Registrados</t>
  </si>
  <si>
    <t xml:space="preserve">Unidad de Compra </t>
  </si>
  <si>
    <t>Consejo Nacional de la Persona Envejeciente</t>
  </si>
  <si>
    <t>Monto Estimado Total</t>
  </si>
  <si>
    <t>Código de la Unidad de Compra</t>
  </si>
  <si>
    <t>000210</t>
  </si>
  <si>
    <t xml:space="preserve">Año Fiscal </t>
  </si>
  <si>
    <t>2023</t>
  </si>
  <si>
    <t>Fecha Aprobación</t>
  </si>
  <si>
    <t/>
  </si>
  <si>
    <t>NOMBRE O REFERENCIA DE CONTRATACIÓN</t>
  </si>
  <si>
    <t>FINALIDAD DE LA CONTRATACIÓN</t>
  </si>
  <si>
    <t>OBJETO DE CONTRATACIÓN</t>
  </si>
  <si>
    <t>PROCEDIMIENTO DE SELECCIÓN</t>
  </si>
  <si>
    <t>DESTINADO A MIPYMES</t>
  </si>
  <si>
    <t>CÓDIGO SNIP</t>
  </si>
  <si>
    <t>ALIMENTOS PARA ADULTOS MAYORES EN CENTROS</t>
  </si>
  <si>
    <t>Dotar a los adultos mayores de la alimentacion necesaria para mejorar su calidad de vida</t>
  </si>
  <si>
    <t>Bienes</t>
  </si>
  <si>
    <t>Licitacion Publica Internacional</t>
  </si>
  <si>
    <t>Sí</t>
  </si>
  <si>
    <t>FECHA DE NECESSIDAD</t>
  </si>
  <si>
    <t>FECHA INICIO PROCESO DE COMPRA</t>
  </si>
  <si>
    <t>LUGAR DE EJECUCIÓN / ENTREGA</t>
  </si>
  <si>
    <t>Región</t>
  </si>
  <si>
    <t>TRIMESTRE</t>
  </si>
  <si>
    <t>Provincia</t>
  </si>
  <si>
    <t>FECHA PREVISTA ADJUDICACIÓN</t>
  </si>
  <si>
    <t>Municipio</t>
  </si>
  <si>
    <t>Distrito Municipal</t>
  </si>
  <si>
    <t>CÓDIGO CATÁLOGO</t>
  </si>
  <si>
    <t>ARTÍCULO</t>
  </si>
  <si>
    <t>UNIDAD DE MEDIDA</t>
  </si>
  <si>
    <t>CANTIDAD TOTAL ESTIMADA</t>
  </si>
  <si>
    <t>PRECIO UNITARIO ESTIMADO</t>
  </si>
  <si>
    <t>MONTO TOTAL ESTIMADO</t>
  </si>
  <si>
    <t>50151513</t>
  </si>
  <si>
    <t>50221101</t>
  </si>
  <si>
    <t>50181903</t>
  </si>
  <si>
    <t>50171551</t>
  </si>
  <si>
    <t>50161509</t>
  </si>
  <si>
    <t>50161511</t>
  </si>
  <si>
    <t>50192401</t>
  </si>
  <si>
    <t>50202304</t>
  </si>
  <si>
    <t>50202309</t>
  </si>
  <si>
    <t>50192110</t>
  </si>
  <si>
    <t>50192901</t>
  </si>
  <si>
    <t>50221102</t>
  </si>
  <si>
    <t>50131702</t>
  </si>
  <si>
    <t>50221001</t>
  </si>
  <si>
    <t>50111512</t>
  </si>
  <si>
    <t>50121538</t>
  </si>
  <si>
    <t>50201706</t>
  </si>
  <si>
    <t>50221201</t>
  </si>
  <si>
    <t>TOTAL COMPRA ESTIMADA</t>
  </si>
  <si>
    <t xml:space="preserve">AUTOMOVILES Y CAMIONES </t>
  </si>
  <si>
    <t>Adquirir vehiculos de motor para las operaciones diarias de la institucion en favor de los adultos mayores</t>
  </si>
  <si>
    <t>Licitacion Publica</t>
  </si>
  <si>
    <t>No</t>
  </si>
  <si>
    <t>25101502</t>
  </si>
  <si>
    <t>25101905</t>
  </si>
  <si>
    <t xml:space="preserve">MEDICAMENTOS PARA ADULTOS MAYORES </t>
  </si>
  <si>
    <t>Adquirir medicamentos para mejorar la calidad de vida de los adultos mayores</t>
  </si>
  <si>
    <t>85121902</t>
  </si>
  <si>
    <t>51121904</t>
  </si>
  <si>
    <t>51191510</t>
  </si>
  <si>
    <t>51181504</t>
  </si>
  <si>
    <t>51121710</t>
  </si>
  <si>
    <t>51191515</t>
  </si>
  <si>
    <t>51121715</t>
  </si>
  <si>
    <t>51141722</t>
  </si>
  <si>
    <t>51121743</t>
  </si>
  <si>
    <t>51141703</t>
  </si>
  <si>
    <t>51141531</t>
  </si>
  <si>
    <t>51121709</t>
  </si>
  <si>
    <t>51181608</t>
  </si>
  <si>
    <t>51181517</t>
  </si>
  <si>
    <t>51141517</t>
  </si>
  <si>
    <t>51141704</t>
  </si>
  <si>
    <t>51121733</t>
  </si>
  <si>
    <t>51151801</t>
  </si>
  <si>
    <t>51141513</t>
  </si>
  <si>
    <t>51141714</t>
  </si>
  <si>
    <t>51121803</t>
  </si>
  <si>
    <t xml:space="preserve">SERVICIOS DE ALIMENTACION </t>
  </si>
  <si>
    <t>Proveeer de alimentos cocidos a los empleados de la institucion incluyendo los eventos y actividades institucionales</t>
  </si>
  <si>
    <t>Servicios</t>
  </si>
  <si>
    <t>50192701</t>
  </si>
  <si>
    <t>COMBUSTIBLES PARA USO INSTITUCIONAL</t>
  </si>
  <si>
    <t>Proveer a los vehiculos de la institucion de combustibles para uso en las labores diarias de la  institucion</t>
  </si>
  <si>
    <t>15101505</t>
  </si>
  <si>
    <t>15101506</t>
  </si>
  <si>
    <t>PROGRAMAS DE INFROMATICA</t>
  </si>
  <si>
    <t>adquirir las licencias para la proteccion de datos y antivirus asi como cuentas de correo institucional.</t>
  </si>
  <si>
    <t>Comparacion de Precios</t>
  </si>
  <si>
    <t>43231512</t>
  </si>
  <si>
    <t>EVENTOS GENERALES</t>
  </si>
  <si>
    <t>Contratar una o varias empresas para la gestion de eventos institucionales</t>
  </si>
  <si>
    <t>80141607</t>
  </si>
  <si>
    <t>ALQUILER DE EQUIPOS DE TRANSPORTE</t>
  </si>
  <si>
    <t>contratar camiones para distribucion de alimentos u otros vehiculos requeridos para actividades instituciones</t>
  </si>
  <si>
    <t>25101611</t>
  </si>
  <si>
    <t>MANTENIMIENTO DE EQUIPOS DE TRANPORTE</t>
  </si>
  <si>
    <t>Contratar los servicios de mantenimiento de vehiculos en un taller especializado</t>
  </si>
  <si>
    <t>78180103</t>
  </si>
  <si>
    <t>SERVICIOS DE IMPRESION Y ENCUADERNACION</t>
  </si>
  <si>
    <t>Realizar las reproduciones de documentos de las actividades diarias de la institucion asi como otras impresiones institucionales</t>
  </si>
  <si>
    <t>Compras Menores</t>
  </si>
  <si>
    <t>82121503</t>
  </si>
  <si>
    <t>SERVICIOS DE PUBLICIDAD Y PROPAGANDA</t>
  </si>
  <si>
    <t>Realizar las publicaciones que son obligatorias en diarios nacionales asi como publicaciones de indole institucional</t>
  </si>
  <si>
    <t>Excepción - Contratación de publicidad a través de medios de comunicación social</t>
  </si>
  <si>
    <t>82101504</t>
  </si>
  <si>
    <t>SILLAS DE RUEDAS PARA ADULTOS MAYORES</t>
  </si>
  <si>
    <t>Adquirir sillas de ruedas para adultos mayores con limitaciones</t>
  </si>
  <si>
    <t>Compras por debajo del Umbral</t>
  </si>
  <si>
    <t>42192210</t>
  </si>
  <si>
    <t>FLORES Y OTROS PRODUCTOS FORESTALES A REQUERIMIENTO</t>
  </si>
  <si>
    <t xml:space="preserve">suplir a las actividades intitucionales de flores </t>
  </si>
  <si>
    <t>10161707</t>
  </si>
  <si>
    <t>SERVICIOS DE FUMINGACION</t>
  </si>
  <si>
    <t>Contratar empresa para realizar fumigacion</t>
  </si>
  <si>
    <t>72102103</t>
  </si>
  <si>
    <t>SERVISIO DE MANTENIM. REPARACION Y DESMONTE</t>
  </si>
  <si>
    <t>Contrato para el mantenimiento de planta</t>
  </si>
  <si>
    <t>73152101</t>
  </si>
  <si>
    <t>PRODUCTOS DE CEMENTO</t>
  </si>
  <si>
    <t>aDQUIRIR PRODUCTOS DE CEMENTO</t>
  </si>
  <si>
    <t>30111504</t>
  </si>
  <si>
    <t>AIRES ACONDICIONADOS</t>
  </si>
  <si>
    <t>Adquirir equipos de aire acondicionado para las oficinas del CONAPE</t>
  </si>
  <si>
    <t>40101701</t>
  </si>
  <si>
    <t xml:space="preserve"> UTILES MENORES MEDICO QUIRURGICOS </t>
  </si>
  <si>
    <t>compras utiles medicos menores para la unidad medica</t>
  </si>
  <si>
    <t>42181610</t>
  </si>
  <si>
    <t>42181803</t>
  </si>
  <si>
    <t>42281508</t>
  </si>
  <si>
    <t>42281509</t>
  </si>
  <si>
    <t>42211603</t>
  </si>
  <si>
    <t>42211505</t>
  </si>
  <si>
    <t>42151608</t>
  </si>
  <si>
    <t>42151625</t>
  </si>
  <si>
    <t>REPARACIONES Y  MANT. MENORES EN  EDIFICACION</t>
  </si>
  <si>
    <t>contratar una emresa para hacer reparaciones y mantenimientos en la sede</t>
  </si>
  <si>
    <t>72101507</t>
  </si>
  <si>
    <t>30222701</t>
  </si>
  <si>
    <t>UTILES DE COCINA Y COMEDOR</t>
  </si>
  <si>
    <t>Adquirir los insumos necesarios para las actividades de la institucion</t>
  </si>
  <si>
    <t>52152004</t>
  </si>
  <si>
    <t>52152101</t>
  </si>
  <si>
    <t>52151704</t>
  </si>
  <si>
    <t>52151703</t>
  </si>
  <si>
    <t>52151702</t>
  </si>
  <si>
    <t>52152016</t>
  </si>
  <si>
    <t>48101903</t>
  </si>
  <si>
    <t>24112602</t>
  </si>
  <si>
    <t>52152008</t>
  </si>
  <si>
    <t>PRENDAS DE VESTIR</t>
  </si>
  <si>
    <t>Adquirir prendas de vestir para uso de los empleados</t>
  </si>
  <si>
    <t>53103001</t>
  </si>
  <si>
    <t>53101502</t>
  </si>
  <si>
    <t>LLANTAS Y NEUMATICOS</t>
  </si>
  <si>
    <t>Adquiriri neumaticos para vehiculos institucionales</t>
  </si>
  <si>
    <t>25172504</t>
  </si>
  <si>
    <t>PRODUCTOS QUIMICOA Y DE LABORATORIO</t>
  </si>
  <si>
    <t xml:space="preserve">Adquirir kits de higuiene para adultos mayores </t>
  </si>
  <si>
    <t>53131613</t>
  </si>
  <si>
    <t>CAMARAS FOTOGRAFICAS</t>
  </si>
  <si>
    <t>Adquirir camaras y accesorios para video</t>
  </si>
  <si>
    <t>45121506</t>
  </si>
  <si>
    <t>ASCENSOR PARA USO INSTITUCIONAL</t>
  </si>
  <si>
    <t>Adquirir ascensor para oficinas principales</t>
  </si>
  <si>
    <t>24101601</t>
  </si>
  <si>
    <t>EQUIPO DE GENERACION ELECTRICA</t>
  </si>
  <si>
    <t xml:space="preserve">compra de inversores </t>
  </si>
  <si>
    <t>39121004</t>
  </si>
  <si>
    <t xml:space="preserve"> ALQUILER DE EQUIPO DE OFICINA Y MUEBLE </t>
  </si>
  <si>
    <t>Alquilar copiadoras para uso institucional</t>
  </si>
  <si>
    <t>44101501</t>
  </si>
  <si>
    <t>electrodomesticos</t>
  </si>
  <si>
    <t>adquirir electrodomesticos para uso institucional</t>
  </si>
  <si>
    <t>52141526</t>
  </si>
  <si>
    <t>48101714</t>
  </si>
  <si>
    <t>52161505</t>
  </si>
  <si>
    <t xml:space="preserve">CORTINAS BLACKOUT </t>
  </si>
  <si>
    <t>Adquirir cortinas blackout para oficinas</t>
  </si>
  <si>
    <t>52131501</t>
  </si>
  <si>
    <t>PRODUCTOS DE PAPEL Y CARTON</t>
  </si>
  <si>
    <t xml:space="preserve">Adquirir productos de papel necesarios para la higiene </t>
  </si>
  <si>
    <t>14111704</t>
  </si>
  <si>
    <t>LAMPARAS DE EXTERIOR CON FOTOCELDAS</t>
  </si>
  <si>
    <t>Adquirir laparas de exterior y sus repuestos</t>
  </si>
  <si>
    <t>39101601</t>
  </si>
  <si>
    <t>39121311</t>
  </si>
  <si>
    <t>26121536</t>
  </si>
  <si>
    <t>PINTURAS, LACAS Y BARNICES</t>
  </si>
  <si>
    <t xml:space="preserve">compra de pinturas </t>
  </si>
  <si>
    <t>31211501</t>
  </si>
  <si>
    <t>31211506</t>
  </si>
  <si>
    <t>PRODUCTOS EXPLOSIVOS</t>
  </si>
  <si>
    <t>Fuegos artificiales</t>
  </si>
  <si>
    <t>12131601</t>
  </si>
  <si>
    <t>LIBROS REVISTAS Y ARTES GRAFICAS</t>
  </si>
  <si>
    <t>Compra de normas, libros y revistas</t>
  </si>
  <si>
    <t>49101705</t>
  </si>
  <si>
    <t>60103503</t>
  </si>
  <si>
    <t>PRODUCTOS DE CAUCHO Y PLASTIVO, FIBRAS Y TELAS</t>
  </si>
  <si>
    <t>Compra de productos y articulos ferreteros</t>
  </si>
  <si>
    <t>60123202</t>
  </si>
  <si>
    <t>40142116</t>
  </si>
  <si>
    <t>53121608</t>
  </si>
  <si>
    <t>24112109</t>
  </si>
  <si>
    <t>ETIQUETAS PARA OFICINA Y UTILES VARIOS</t>
  </si>
  <si>
    <t>ADQUIRIR ETIQUETAS DE OFICINA</t>
  </si>
  <si>
    <t>55121503</t>
  </si>
  <si>
    <t>OTROS PROD. QUIMICOS CONEXOS</t>
  </si>
  <si>
    <t>Adquirir Cremas antimicoticas</t>
  </si>
  <si>
    <t>41106201</t>
  </si>
  <si>
    <t>PRODUCTOS DE LOZA</t>
  </si>
  <si>
    <t>Adquirir productos de loza para uso institucional</t>
  </si>
  <si>
    <t>30181511</t>
  </si>
  <si>
    <t>HERRAMIENTAS MENORES</t>
  </si>
  <si>
    <t xml:space="preserve">Comprar herramientas menores </t>
  </si>
  <si>
    <t>27111508</t>
  </si>
  <si>
    <t xml:space="preserve">EQUIPOS Y APARATOS AUDIO VISUALES </t>
  </si>
  <si>
    <t>Comprar equipos de videoconferencias</t>
  </si>
  <si>
    <t>45111902</t>
  </si>
  <si>
    <t>OTROS EQUIPOS Y MOBILIARIOS NO IDENTIFICADOS</t>
  </si>
  <si>
    <t>COMPRA DE ARMARIOS DE MEDICMAENTOS</t>
  </si>
  <si>
    <t>42191905</t>
  </si>
  <si>
    <t>EQUIPOS DE SEGURIDAD</t>
  </si>
  <si>
    <t>Compras de extintores</t>
  </si>
  <si>
    <t>46191601</t>
  </si>
  <si>
    <t>PRODUCTOS METALICOS</t>
  </si>
  <si>
    <t>compra de productos metalicos</t>
  </si>
  <si>
    <t>30152001</t>
  </si>
  <si>
    <t xml:space="preserve">OTROS EQUIPOS </t>
  </si>
  <si>
    <t xml:space="preserve">impresoras y otros equipos </t>
  </si>
  <si>
    <t>45101515</t>
  </si>
  <si>
    <t>EQUIPOS DE COMUNICACION Y TELECOMUNICACION</t>
  </si>
  <si>
    <t>Aquirir telefonos</t>
  </si>
  <si>
    <t>43191504</t>
  </si>
  <si>
    <t>Maquinarias y Herramientas</t>
  </si>
  <si>
    <t>compra de herramientas</t>
  </si>
  <si>
    <t>27111515</t>
  </si>
  <si>
    <t>27112709</t>
  </si>
  <si>
    <t>PRODUCTOSDE SEGURIDAD</t>
  </si>
  <si>
    <t>Compra de harraminetas de seguridad  de carga</t>
  </si>
  <si>
    <t>24141511</t>
  </si>
  <si>
    <t>PRODUCTOS DE YESO</t>
  </si>
  <si>
    <t>Compra de Productos de yeso</t>
  </si>
  <si>
    <t>11111601</t>
  </si>
  <si>
    <t>PRODUCTOS DE ARCILLA Y DERIBADOS</t>
  </si>
  <si>
    <t>Comprar productos de arcilla</t>
  </si>
  <si>
    <t>31371107</t>
  </si>
  <si>
    <t>ALFOMBRA PARA EXTERIORES YACCESORIOS</t>
  </si>
  <si>
    <t>COMPRA DE ALFOMBRA DE EXTERIORES</t>
  </si>
  <si>
    <t>30161711</t>
  </si>
  <si>
    <t xml:space="preserve">EQUIPO DE TRACCION </t>
  </si>
  <si>
    <t>COMPRA CARRITO PARA CARGA</t>
  </si>
  <si>
    <t>24101504</t>
  </si>
  <si>
    <t>MATERIAL PARA LA LIMPIEZA</t>
  </si>
  <si>
    <t>COMPRA DE MATERIAL DE LIMPIEZA</t>
  </si>
  <si>
    <t>47131706</t>
  </si>
  <si>
    <t>47131702</t>
  </si>
  <si>
    <t>47131605</t>
  </si>
  <si>
    <t>47131807</t>
  </si>
  <si>
    <t>47131801</t>
  </si>
  <si>
    <t>47131803</t>
  </si>
  <si>
    <t>47131818</t>
  </si>
  <si>
    <t>47131604</t>
  </si>
  <si>
    <t>47131805</t>
  </si>
  <si>
    <t>47131502</t>
  </si>
  <si>
    <t>47131601</t>
  </si>
  <si>
    <t>47121701</t>
  </si>
  <si>
    <t>EQUIPO COMPUTACIONAL</t>
  </si>
  <si>
    <t>Adquirir computadores y equipos tecnologicos</t>
  </si>
  <si>
    <t>43211507</t>
  </si>
  <si>
    <t>43211508</t>
  </si>
  <si>
    <t>MOBILIARIOS Y EQUIPOS DE OFICINA</t>
  </si>
  <si>
    <t>Compra de Mobiliarios y equipos de oficina</t>
  </si>
  <si>
    <t>56101703</t>
  </si>
  <si>
    <t>56112104</t>
  </si>
  <si>
    <t>56111704</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</si>
</sst>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_-[$RD$-1C0A]* #,##0.00_-;\-[$RD$-1C0A]* #,##0.00_-;_-[$RD$-1C0A]* &quot;-&quot;??_-;_-@"/>
    <numFmt numFmtId="165" formatCode="dd/mm/yyyy"/>
    <numFmt numFmtId="166" formatCode="dd\-mm\-yyyy"/>
    <numFmt numFmtId="167" formatCode="_-[$RD$-1C0A]* #,##0.00_ ;_-[$RD$-1C0A]* \-#,##0.00\ ;_-[$RD$-1C0A]* &quot; - &quot;??_ ;_-@_ "/>
  </numFmts>
  <fonts count="11">
    <font>
      <sz val="10.0"/>
      <color rgb="FF000000"/>
      <name val="Arial"/>
      <scheme val="minor"/>
    </font>
    <font>
      <sz val="14.0"/>
      <color theme="1"/>
      <name val="Book Antiqua"/>
    </font>
    <font>
      <b/>
      <sz val="12.0"/>
      <color theme="1"/>
      <name val="Book Antiqua"/>
    </font>
    <font/>
    <font>
      <b/>
      <sz val="16.0"/>
      <color theme="1"/>
      <name val="Book Antiqua"/>
    </font>
    <font>
      <sz val="9.0"/>
      <color theme="1"/>
      <name val="Book Antiqua"/>
    </font>
    <font>
      <b/>
      <sz val="9.0"/>
      <color rgb="FF002060"/>
      <name val="Book Antiqua"/>
    </font>
    <font>
      <b/>
      <sz val="9.0"/>
      <color theme="1"/>
      <name val="Book Antiqua"/>
    </font>
    <font>
      <sz val="11.0"/>
      <color theme="1"/>
      <name val="Book Antiqua"/>
    </font>
    <font>
      <b/>
      <sz val="8.0"/>
      <color theme="1"/>
      <name val="Book Antiqua"/>
    </font>
    <font>
      <sz val="8.0"/>
      <color theme="1"/>
      <name val="Book Antiqua"/>
    </font>
  </fonts>
  <fills count="8">
    <fill>
      <patternFill patternType="none"/>
    </fill>
    <fill>
      <patternFill patternType="lightGray"/>
    </fill>
    <fill>
      <patternFill patternType="solid">
        <fgColor theme="0"/>
        <bgColor theme="0"/>
      </patternFill>
    </fill>
    <fill>
      <patternFill patternType="solid">
        <fgColor rgb="FFD8D8D8"/>
        <bgColor rgb="FFD8D8D8"/>
      </patternFill>
    </fill>
    <fill>
      <patternFill patternType="solid">
        <fgColor rgb="FFC8C8C8"/>
        <bgColor rgb="FFC8C8C8"/>
      </patternFill>
    </fill>
    <fill>
      <patternFill patternType="solid">
        <fgColor rgb="FF9BC2E6"/>
        <bgColor rgb="FF9BC2E6"/>
      </patternFill>
    </fill>
    <fill>
      <patternFill patternType="solid">
        <fgColor rgb="FFDDEBF7"/>
        <bgColor rgb="FFDDEBF7"/>
      </patternFill>
    </fill>
    <fill>
      <patternFill patternType="solid">
        <fgColor rgb="FFC9C9C9"/>
        <bgColor rgb="FFC9C9C9"/>
      </patternFill>
    </fill>
  </fills>
  <borders count="18">
    <border/>
    <border>
      <left/>
      <right/>
      <top/>
      <bottom/>
    </border>
    <border>
      <left/>
      <right/>
      <top style="thick">
        <color rgb="FF7F7F7F"/>
      </top>
      <bottom/>
    </border>
    <border>
      <top style="thick">
        <color rgb="FF7F7F7F"/>
      </top>
    </border>
    <border>
      <left/>
      <top/>
      <bottom/>
    </border>
    <border>
      <top/>
      <bottom/>
    </border>
    <border>
      <right/>
      <top/>
      <bottom/>
    </border>
    <border>
      <left/>
      <right/>
      <top/>
      <bottom style="medium">
        <color rgb="FF000000"/>
      </bottom>
    </border>
    <border>
      <left/>
      <right/>
      <top style="medium">
        <color rgb="FF000000"/>
      </top>
      <bottom/>
    </border>
    <border>
      <left style="medium">
        <color rgb="FF000000"/>
      </left>
      <right/>
      <top style="medium">
        <color rgb="FF000000"/>
      </top>
      <bottom style="medium">
        <color rgb="FF000000"/>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style="medium">
        <color rgb="FF000000"/>
      </left>
      <right/>
      <top/>
      <bottom style="medium">
        <color rgb="FF000000"/>
      </bottom>
    </border>
    <border>
      <left style="medium">
        <color rgb="FF000000"/>
      </left>
      <right style="medium">
        <color rgb="FF000000"/>
      </right>
      <top style="medium">
        <color rgb="FF000000"/>
      </top>
    </border>
    <border>
      <left style="medium">
        <color rgb="FF000000"/>
      </left>
      <right style="medium">
        <color rgb="FF000000"/>
      </right>
    </border>
    <border>
      <left style="medium">
        <color rgb="FF000000"/>
      </left>
      <right style="medium">
        <color rgb="FF000000"/>
      </right>
      <bottom style="medium">
        <color rgb="FF000000"/>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46">
    <xf borderId="0" fillId="0" fontId="0" numFmtId="0" xfId="0" applyAlignment="1" applyFont="1">
      <alignment readingOrder="0" shrinkToFit="0" vertical="bottom" wrapText="0"/>
    </xf>
    <xf borderId="0" fillId="0" fontId="1" numFmtId="0" xfId="0" applyAlignment="1" applyFont="1">
      <alignment horizontal="center" shrinkToFit="0" vertical="center" wrapText="1"/>
    </xf>
    <xf borderId="1" fillId="2" fontId="1" numFmtId="0" xfId="0" applyAlignment="1" applyBorder="1" applyFill="1" applyFont="1">
      <alignment horizontal="center" shrinkToFit="0" vertical="center" wrapText="1"/>
    </xf>
    <xf borderId="2" fillId="2" fontId="1" numFmtId="0" xfId="0" applyAlignment="1" applyBorder="1" applyFont="1">
      <alignment horizontal="center" shrinkToFit="0" vertical="center" wrapText="1"/>
    </xf>
    <xf borderId="3" fillId="0" fontId="1" numFmtId="0" xfId="0" applyAlignment="1" applyBorder="1" applyFont="1">
      <alignment shrinkToFit="0" vertical="center" wrapText="1"/>
    </xf>
    <xf borderId="2" fillId="2" fontId="1" numFmtId="0" xfId="0" applyAlignment="1" applyBorder="1" applyFont="1">
      <alignment shrinkToFit="0" vertical="center" wrapText="1"/>
    </xf>
    <xf borderId="1" fillId="2" fontId="1" numFmtId="0" xfId="0" applyAlignment="1" applyBorder="1" applyFont="1">
      <alignment shrinkToFit="0" vertical="center" wrapText="1"/>
    </xf>
    <xf borderId="0" fillId="0" fontId="1" numFmtId="0" xfId="0" applyAlignment="1" applyFont="1">
      <alignment shrinkToFit="0" vertical="center" wrapText="1"/>
    </xf>
    <xf borderId="4" fillId="3" fontId="2" numFmtId="0" xfId="0" applyAlignment="1" applyBorder="1" applyFill="1" applyFont="1">
      <alignment horizontal="center" shrinkToFit="0" vertical="top" wrapText="1"/>
    </xf>
    <xf borderId="5" fillId="0" fontId="3" numFmtId="0" xfId="0" applyBorder="1" applyFont="1"/>
    <xf borderId="6" fillId="0" fontId="3" numFmtId="0" xfId="0" applyBorder="1" applyFont="1"/>
    <xf borderId="1" fillId="2" fontId="2" numFmtId="0" xfId="0" applyAlignment="1" applyBorder="1" applyFont="1">
      <alignment shrinkToFit="0" vertical="top" wrapText="1"/>
    </xf>
    <xf borderId="4" fillId="3" fontId="2" numFmtId="0" xfId="0" applyAlignment="1" applyBorder="1" applyFont="1">
      <alignment horizontal="center" shrinkToFit="0" vertical="center" wrapText="1"/>
    </xf>
    <xf borderId="1" fillId="2" fontId="2" numFmtId="0" xfId="0" applyAlignment="1" applyBorder="1" applyFont="1">
      <alignment shrinkToFit="0" vertical="center" wrapText="1"/>
    </xf>
    <xf borderId="7" fillId="2" fontId="4" numFmtId="0" xfId="0" applyAlignment="1" applyBorder="1" applyFont="1">
      <alignment shrinkToFit="0" vertical="center" wrapText="1"/>
    </xf>
    <xf borderId="1" fillId="2" fontId="4" numFmtId="0" xfId="0" applyAlignment="1" applyBorder="1" applyFont="1">
      <alignment shrinkToFit="0" vertical="center" wrapText="1"/>
    </xf>
    <xf borderId="1" fillId="2" fontId="5" numFmtId="0" xfId="0" applyAlignment="1" applyBorder="1" applyFont="1">
      <alignment shrinkToFit="0" vertical="center" wrapText="1"/>
    </xf>
    <xf borderId="1" fillId="2" fontId="6" numFmtId="0" xfId="0" applyAlignment="1" applyBorder="1" applyFont="1">
      <alignment horizontal="left" shrinkToFit="0" vertical="center" wrapText="1"/>
    </xf>
    <xf borderId="8" fillId="2" fontId="5" numFmtId="0" xfId="0" applyAlignment="1" applyBorder="1" applyFont="1">
      <alignment shrinkToFit="0" vertical="center" wrapText="1"/>
    </xf>
    <xf borderId="9" fillId="3" fontId="7" numFmtId="38" xfId="0" applyAlignment="1" applyBorder="1" applyFont="1" applyNumberFormat="1">
      <alignment shrinkToFit="0" vertical="center" wrapText="1"/>
    </xf>
    <xf borderId="10" fillId="0" fontId="7" numFmtId="49" xfId="0" applyAlignment="1" applyBorder="1" applyFont="1" applyNumberFormat="1">
      <alignment horizontal="center" shrinkToFit="0" vertical="center" wrapText="1"/>
    </xf>
    <xf borderId="11" fillId="0" fontId="3" numFmtId="0" xfId="0" applyBorder="1" applyFont="1"/>
    <xf borderId="0" fillId="0" fontId="5" numFmtId="0" xfId="0" applyAlignment="1" applyFont="1">
      <alignment shrinkToFit="0" vertical="center" wrapText="1"/>
    </xf>
    <xf borderId="1" fillId="2" fontId="6" numFmtId="0" xfId="0" applyAlignment="1" applyBorder="1" applyFont="1">
      <alignment shrinkToFit="0" vertical="center" wrapText="1"/>
    </xf>
    <xf borderId="9" fillId="4" fontId="7" numFmtId="0" xfId="0" applyAlignment="1" applyBorder="1" applyFill="1" applyFont="1">
      <alignment horizontal="left" shrinkToFit="0" vertical="center" wrapText="1"/>
    </xf>
    <xf borderId="12" fillId="0" fontId="7" numFmtId="0" xfId="0" applyAlignment="1" applyBorder="1" applyFont="1">
      <alignment shrinkToFit="0" vertical="center" wrapText="1"/>
    </xf>
    <xf borderId="13" fillId="4" fontId="7" numFmtId="0" xfId="0" applyAlignment="1" applyBorder="1" applyFont="1">
      <alignment horizontal="left" shrinkToFit="0" vertical="center" wrapText="1"/>
    </xf>
    <xf borderId="12" fillId="0" fontId="7" numFmtId="164" xfId="0" applyAlignment="1" applyBorder="1" applyFont="1" applyNumberFormat="1">
      <alignment shrinkToFit="0" vertical="center" wrapText="1"/>
    </xf>
    <xf borderId="10" fillId="0" fontId="7" numFmtId="1" xfId="0" applyAlignment="1" applyBorder="1" applyFont="1" applyNumberFormat="1">
      <alignment horizontal="center" shrinkToFit="0" vertical="center" wrapText="1"/>
    </xf>
    <xf borderId="7" fillId="2" fontId="5" numFmtId="0" xfId="0" applyAlignment="1" applyBorder="1" applyFont="1">
      <alignment shrinkToFit="0" vertical="center" wrapText="1"/>
    </xf>
    <xf borderId="10" fillId="0" fontId="7" numFmtId="165" xfId="0" applyAlignment="1" applyBorder="1" applyFont="1" applyNumberFormat="1">
      <alignment horizontal="center" shrinkToFit="0" vertical="center" wrapText="1"/>
    </xf>
    <xf borderId="0" fillId="0" fontId="8" numFmtId="0" xfId="0" applyAlignment="1" applyFont="1">
      <alignment shrinkToFit="0" vertical="center" wrapText="1"/>
    </xf>
    <xf borderId="12" fillId="5" fontId="9" numFmtId="0" xfId="0" applyAlignment="1" applyBorder="1" applyFill="1" applyFont="1">
      <alignment horizontal="center" shrinkToFit="0" vertical="center" wrapText="1"/>
    </xf>
    <xf borderId="12" fillId="0" fontId="9" numFmtId="0" xfId="0" applyAlignment="1" applyBorder="1" applyFont="1">
      <alignment horizontal="center" shrinkToFit="0" vertical="center" wrapText="1"/>
    </xf>
    <xf borderId="14" fillId="5" fontId="9" numFmtId="0" xfId="0" applyAlignment="1" applyBorder="1" applyFont="1">
      <alignment horizontal="center" shrinkToFit="0" textRotation="90" vertical="center" wrapText="1"/>
    </xf>
    <xf borderId="12" fillId="6" fontId="9" numFmtId="0" xfId="0" applyAlignment="1" applyBorder="1" applyFill="1" applyFont="1">
      <alignment horizontal="center" shrinkToFit="0" vertical="center" wrapText="1"/>
    </xf>
    <xf borderId="12" fillId="0" fontId="9" numFmtId="166" xfId="0" applyAlignment="1" applyBorder="1" applyFont="1" applyNumberFormat="1">
      <alignment horizontal="center" shrinkToFit="0" vertical="center" wrapText="1"/>
    </xf>
    <xf borderId="12" fillId="0" fontId="9" numFmtId="0" xfId="0" applyAlignment="1" applyBorder="1" applyFont="1">
      <alignment horizontal="left" shrinkToFit="0" vertical="center" wrapText="1"/>
    </xf>
    <xf borderId="15" fillId="0" fontId="3" numFmtId="0" xfId="0" applyBorder="1" applyFont="1"/>
    <xf borderId="16" fillId="0" fontId="3" numFmtId="0" xfId="0" applyBorder="1" applyFont="1"/>
    <xf borderId="12" fillId="7" fontId="9" numFmtId="0" xfId="0" applyAlignment="1" applyBorder="1" applyFill="1" applyFont="1">
      <alignment horizontal="center" shrinkToFit="0" vertical="center" wrapText="1"/>
    </xf>
    <xf borderId="17" fillId="0" fontId="10" numFmtId="0" xfId="0" applyAlignment="1" applyBorder="1" applyFont="1">
      <alignment horizontal="center" shrinkToFit="0" vertical="center" wrapText="1"/>
    </xf>
    <xf borderId="17" fillId="0" fontId="10" numFmtId="0" xfId="0" applyAlignment="1" applyBorder="1" applyFont="1">
      <alignment horizontal="left" shrinkToFit="0" vertical="center" wrapText="1"/>
    </xf>
    <xf borderId="17" fillId="0" fontId="10" numFmtId="167" xfId="0" applyAlignment="1" applyBorder="1" applyFont="1" applyNumberFormat="1">
      <alignment horizontal="center" shrinkToFit="0" vertical="center" wrapText="1"/>
    </xf>
    <xf borderId="17" fillId="7" fontId="9" numFmtId="0" xfId="0" applyAlignment="1" applyBorder="1" applyFont="1">
      <alignment horizontal="center" shrinkToFit="0" vertical="center" wrapText="1"/>
    </xf>
    <xf borderId="17" fillId="7" fontId="10" numFmtId="167" xfId="0" applyAlignment="1" applyBorder="1" applyFont="1" applyNumberFormat="1">
      <alignment horizontal="center"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161925</xdr:rowOff>
    </xdr:from>
    <xdr:ext cx="1962150" cy="4191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342900</xdr:colOff>
      <xdr:row>0</xdr:row>
      <xdr:rowOff>9525</xdr:rowOff>
    </xdr:from>
    <xdr:ext cx="1009650" cy="7715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75"/>
  <cols>
    <col customWidth="1" min="1" max="1" width="19.5"/>
    <col customWidth="1" min="2" max="2" width="37.63"/>
    <col customWidth="1" min="3" max="3" width="16.63"/>
    <col customWidth="1" min="4" max="4" width="17.88"/>
    <col customWidth="1" min="5" max="5" width="19.75"/>
    <col customWidth="1" min="6" max="6" width="18.75"/>
    <col customWidth="1" min="7" max="7" width="10.0"/>
    <col customWidth="1" hidden="1" min="8" max="9" width="8.0"/>
    <col customWidth="1" hidden="1" min="10" max="10" width="10.13"/>
    <col customWidth="1" min="11" max="11" width="6.5"/>
    <col customWidth="1" min="12" max="12" width="12.5"/>
    <col customWidth="1" min="13" max="13" width="19.75"/>
    <col customWidth="1" min="14" max="26" width="8.0"/>
  </cols>
  <sheetData>
    <row r="1" ht="13.5" customHeight="1">
      <c r="A1" s="1"/>
      <c r="B1" s="2"/>
      <c r="C1" s="3"/>
      <c r="D1" s="3"/>
      <c r="E1" s="4"/>
      <c r="F1" s="2"/>
      <c r="G1" s="2"/>
      <c r="H1" s="5"/>
      <c r="I1" s="5"/>
      <c r="J1" s="5"/>
      <c r="K1" s="6"/>
      <c r="L1" s="6"/>
      <c r="M1" s="6"/>
      <c r="N1" s="7"/>
      <c r="O1" s="7"/>
      <c r="P1" s="7"/>
      <c r="Q1" s="7"/>
      <c r="R1" s="7"/>
      <c r="S1" s="7"/>
      <c r="T1" s="7"/>
      <c r="U1" s="7"/>
      <c r="V1" s="7"/>
      <c r="W1" s="7"/>
      <c r="X1" s="7"/>
      <c r="Y1" s="7"/>
      <c r="Z1" s="7"/>
    </row>
    <row r="2" ht="13.5" customHeight="1">
      <c r="B2" s="8" t="s">
        <v>0</v>
      </c>
      <c r="C2" s="9"/>
      <c r="D2" s="9"/>
      <c r="E2" s="10"/>
      <c r="F2" s="11"/>
      <c r="G2" s="2"/>
      <c r="H2" s="6"/>
      <c r="I2" s="7"/>
      <c r="J2" s="7"/>
      <c r="K2" s="7"/>
      <c r="L2" s="7"/>
      <c r="M2" s="7"/>
      <c r="N2" s="7"/>
      <c r="O2" s="7"/>
      <c r="P2" s="7"/>
      <c r="Q2" s="7"/>
      <c r="R2" s="7"/>
      <c r="S2" s="7"/>
      <c r="T2" s="7"/>
      <c r="U2" s="7"/>
      <c r="V2" s="7"/>
      <c r="W2" s="7"/>
      <c r="X2" s="7"/>
      <c r="Y2" s="7"/>
      <c r="Z2" s="7"/>
    </row>
    <row r="3" ht="13.5" customHeight="1">
      <c r="B3" s="12" t="str">
        <f>"AÑO "&amp;E11</f>
        <v>AÑO 2023</v>
      </c>
      <c r="C3" s="9"/>
      <c r="D3" s="9"/>
      <c r="E3" s="10"/>
      <c r="F3" s="13"/>
      <c r="G3" s="2"/>
      <c r="H3" s="6"/>
      <c r="I3" s="7"/>
      <c r="J3" s="7"/>
      <c r="K3" s="7"/>
      <c r="L3" s="7"/>
      <c r="M3" s="7"/>
      <c r="N3" s="7"/>
      <c r="O3" s="7"/>
      <c r="P3" s="7"/>
      <c r="Q3" s="7"/>
      <c r="R3" s="7"/>
      <c r="S3" s="7"/>
      <c r="T3" s="7"/>
      <c r="U3" s="7"/>
      <c r="V3" s="7"/>
      <c r="W3" s="7"/>
      <c r="X3" s="7"/>
      <c r="Y3" s="7"/>
      <c r="Z3" s="7"/>
    </row>
    <row r="4" ht="13.5" customHeight="1">
      <c r="B4" s="2"/>
      <c r="C4" s="2"/>
      <c r="D4" s="2"/>
      <c r="E4" s="6"/>
      <c r="F4" s="2"/>
      <c r="G4" s="2"/>
      <c r="H4" s="6"/>
      <c r="I4" s="7"/>
      <c r="J4" s="7"/>
      <c r="K4" s="7"/>
      <c r="L4" s="7"/>
      <c r="M4" s="7"/>
      <c r="N4" s="7"/>
      <c r="O4" s="7"/>
      <c r="P4" s="7"/>
      <c r="Q4" s="7"/>
      <c r="R4" s="7"/>
      <c r="S4" s="7"/>
      <c r="T4" s="7"/>
      <c r="U4" s="7"/>
      <c r="V4" s="7"/>
      <c r="W4" s="7"/>
      <c r="X4" s="7"/>
      <c r="Y4" s="7"/>
      <c r="Z4" s="7"/>
    </row>
    <row r="5" ht="13.5" customHeight="1">
      <c r="A5" s="14"/>
      <c r="B5" s="14"/>
      <c r="C5" s="15"/>
      <c r="D5" s="15"/>
      <c r="E5" s="15"/>
      <c r="F5" s="15"/>
      <c r="G5" s="16"/>
      <c r="H5" s="16"/>
      <c r="I5" s="7"/>
      <c r="J5" s="7"/>
      <c r="K5" s="7"/>
      <c r="L5" s="7"/>
      <c r="M5" s="7"/>
      <c r="N5" s="7"/>
      <c r="O5" s="7"/>
      <c r="P5" s="7"/>
      <c r="Q5" s="7"/>
      <c r="R5" s="7"/>
      <c r="S5" s="7"/>
      <c r="T5" s="7"/>
      <c r="U5" s="7"/>
      <c r="V5" s="7"/>
      <c r="W5" s="7"/>
      <c r="X5" s="7"/>
      <c r="Y5" s="7"/>
      <c r="Z5" s="7"/>
    </row>
    <row r="6" ht="13.5" customHeight="1">
      <c r="A6" s="17" t="s">
        <v>1</v>
      </c>
      <c r="B6" s="16"/>
      <c r="C6" s="18"/>
      <c r="D6" s="19" t="s">
        <v>2</v>
      </c>
      <c r="E6" s="20" t="s">
        <v>3</v>
      </c>
      <c r="F6" s="21"/>
      <c r="G6" s="22"/>
      <c r="H6" s="22"/>
      <c r="I6" s="22"/>
      <c r="J6" s="22"/>
      <c r="K6" s="22"/>
      <c r="L6" s="22"/>
      <c r="M6" s="22"/>
      <c r="N6" s="22"/>
      <c r="O6" s="22"/>
      <c r="P6" s="22"/>
      <c r="Q6" s="22"/>
      <c r="R6" s="22"/>
      <c r="S6" s="22"/>
      <c r="T6" s="22"/>
      <c r="U6" s="22"/>
      <c r="V6" s="22"/>
      <c r="W6" s="22"/>
      <c r="X6" s="22"/>
      <c r="Y6" s="22"/>
      <c r="Z6" s="22"/>
    </row>
    <row r="7" ht="13.5" customHeight="1">
      <c r="A7" s="23" t="s">
        <v>4</v>
      </c>
      <c r="B7" s="16"/>
      <c r="C7" s="16"/>
      <c r="D7" s="19" t="s">
        <v>5</v>
      </c>
      <c r="E7" s="20" t="s">
        <v>6</v>
      </c>
      <c r="F7" s="21"/>
      <c r="G7" s="22"/>
      <c r="H7" s="22"/>
      <c r="I7" s="22"/>
      <c r="J7" s="22"/>
      <c r="K7" s="22"/>
      <c r="L7" s="22"/>
      <c r="M7" s="22"/>
      <c r="N7" s="22"/>
      <c r="O7" s="22"/>
      <c r="P7" s="22"/>
      <c r="Q7" s="22"/>
      <c r="R7" s="22"/>
      <c r="S7" s="22"/>
      <c r="T7" s="22"/>
      <c r="U7" s="22"/>
      <c r="V7" s="22"/>
      <c r="W7" s="22"/>
      <c r="X7" s="22"/>
      <c r="Y7" s="22"/>
      <c r="Z7" s="22"/>
    </row>
    <row r="8" ht="13.5" customHeight="1">
      <c r="A8" s="16"/>
      <c r="B8" s="16"/>
      <c r="C8" s="16"/>
      <c r="D8" s="19" t="s">
        <v>7</v>
      </c>
      <c r="E8" s="20" t="s">
        <v>8</v>
      </c>
      <c r="F8" s="21"/>
      <c r="G8" s="22"/>
      <c r="H8" s="22"/>
      <c r="I8" s="22"/>
      <c r="J8" s="22"/>
      <c r="K8" s="22"/>
      <c r="L8" s="22"/>
      <c r="M8" s="22"/>
      <c r="N8" s="22"/>
      <c r="O8" s="22"/>
      <c r="P8" s="22"/>
      <c r="Q8" s="22"/>
      <c r="R8" s="22"/>
      <c r="S8" s="22"/>
      <c r="T8" s="22"/>
      <c r="U8" s="22"/>
      <c r="V8" s="22"/>
      <c r="W8" s="22"/>
      <c r="X8" s="22"/>
      <c r="Y8" s="22"/>
      <c r="Z8" s="22"/>
    </row>
    <row r="9" ht="13.5" customHeight="1">
      <c r="A9" s="24" t="s">
        <v>9</v>
      </c>
      <c r="B9" s="25">
        <f>COUNTIFS(PACC!TotalEstColumnName,"="&amp;#REF!,PACC!TotalEstColumnValue,"&gt;0")</f>
        <v>0</v>
      </c>
      <c r="C9" s="16"/>
      <c r="D9" s="19" t="s">
        <v>10</v>
      </c>
      <c r="E9" s="20" t="s">
        <v>11</v>
      </c>
      <c r="F9" s="21"/>
      <c r="G9" s="22"/>
      <c r="H9" s="22"/>
      <c r="I9" s="22"/>
      <c r="J9" s="22"/>
      <c r="K9" s="22"/>
      <c r="L9" s="22"/>
      <c r="M9" s="22"/>
      <c r="N9" s="22"/>
      <c r="O9" s="22"/>
      <c r="P9" s="22"/>
      <c r="Q9" s="22"/>
      <c r="R9" s="22"/>
      <c r="S9" s="22"/>
      <c r="T9" s="22"/>
      <c r="U9" s="22"/>
      <c r="V9" s="22"/>
      <c r="W9" s="22"/>
      <c r="X9" s="22"/>
      <c r="Y9" s="22"/>
      <c r="Z9" s="22"/>
    </row>
    <row r="10" ht="13.5" customHeight="1">
      <c r="A10" s="26" t="s">
        <v>12</v>
      </c>
      <c r="B10" s="27">
        <f>SUMIF(PACC!TotalEstColumnName,"="&amp;#REF!,PACC!TotalEstColumnValue)</f>
        <v>0</v>
      </c>
      <c r="C10" s="16"/>
      <c r="D10" s="19" t="s">
        <v>13</v>
      </c>
      <c r="E10" s="20" t="s">
        <v>14</v>
      </c>
      <c r="F10" s="21"/>
      <c r="G10" s="22"/>
      <c r="H10" s="22"/>
      <c r="I10" s="22"/>
      <c r="J10" s="22"/>
      <c r="K10" s="22"/>
      <c r="L10" s="22"/>
      <c r="M10" s="22"/>
      <c r="N10" s="22"/>
      <c r="O10" s="22"/>
      <c r="P10" s="22"/>
      <c r="Q10" s="22"/>
      <c r="R10" s="22"/>
      <c r="S10" s="22"/>
      <c r="T10" s="22"/>
      <c r="U10" s="22"/>
      <c r="V10" s="22"/>
      <c r="W10" s="22"/>
      <c r="X10" s="22"/>
      <c r="Y10" s="22"/>
      <c r="Z10" s="22"/>
    </row>
    <row r="11" ht="13.5" customHeight="1">
      <c r="A11" s="16"/>
      <c r="B11" s="16"/>
      <c r="C11" s="16"/>
      <c r="D11" s="19" t="s">
        <v>15</v>
      </c>
      <c r="E11" s="28" t="s">
        <v>16</v>
      </c>
      <c r="F11" s="21"/>
      <c r="G11" s="22"/>
      <c r="H11" s="22"/>
      <c r="I11" s="22"/>
      <c r="J11" s="22"/>
      <c r="K11" s="22"/>
      <c r="L11" s="22"/>
      <c r="M11" s="22"/>
      <c r="N11" s="22"/>
      <c r="O11" s="22"/>
      <c r="P11" s="22"/>
      <c r="Q11" s="22"/>
      <c r="R11" s="22"/>
      <c r="S11" s="22"/>
      <c r="T11" s="22"/>
      <c r="U11" s="22"/>
      <c r="V11" s="22"/>
      <c r="W11" s="22"/>
      <c r="X11" s="22"/>
      <c r="Y11" s="22"/>
      <c r="Z11" s="22"/>
    </row>
    <row r="12" ht="13.5" customHeight="1">
      <c r="A12" s="29"/>
      <c r="B12" s="29"/>
      <c r="C12" s="29"/>
      <c r="D12" s="19" t="s">
        <v>17</v>
      </c>
      <c r="E12" s="30" t="s">
        <v>18</v>
      </c>
      <c r="F12" s="21"/>
      <c r="G12" s="22"/>
      <c r="H12" s="22"/>
      <c r="I12" s="22"/>
      <c r="J12" s="22"/>
      <c r="K12" s="22"/>
      <c r="L12" s="22"/>
      <c r="M12" s="22"/>
      <c r="N12" s="22"/>
      <c r="O12" s="22"/>
      <c r="P12" s="22"/>
      <c r="Q12" s="22"/>
      <c r="R12" s="22"/>
      <c r="S12" s="22"/>
      <c r="T12" s="22"/>
      <c r="U12" s="22"/>
      <c r="V12" s="22"/>
      <c r="W12" s="22"/>
      <c r="X12" s="22"/>
      <c r="Y12" s="22"/>
      <c r="Z12" s="22"/>
    </row>
    <row r="13" ht="13.5" customHeight="1">
      <c r="A13" s="31"/>
      <c r="B13" s="31"/>
      <c r="C13" s="31"/>
      <c r="D13" s="31"/>
      <c r="E13" s="31"/>
      <c r="F13" s="31"/>
      <c r="G13" s="31"/>
      <c r="H13" s="31"/>
      <c r="I13" s="31"/>
      <c r="J13" s="31"/>
      <c r="K13" s="31"/>
      <c r="L13" s="31"/>
      <c r="M13" s="31"/>
      <c r="N13" s="31"/>
      <c r="O13" s="31"/>
      <c r="P13" s="31"/>
      <c r="Q13" s="31"/>
      <c r="R13" s="31"/>
      <c r="S13" s="31"/>
      <c r="T13" s="31"/>
      <c r="U13" s="31"/>
      <c r="V13" s="31"/>
      <c r="W13" s="31"/>
      <c r="X13" s="31"/>
      <c r="Y13" s="31"/>
      <c r="Z13" s="31"/>
    </row>
    <row r="14" ht="13.5" customHeight="1">
      <c r="A14" s="31"/>
      <c r="B14" s="31"/>
      <c r="C14" s="31"/>
      <c r="D14" s="31"/>
      <c r="E14" s="31"/>
      <c r="F14" s="31"/>
      <c r="G14" s="31"/>
      <c r="H14" s="31"/>
      <c r="I14" s="31"/>
      <c r="J14" s="31"/>
      <c r="K14" s="31"/>
      <c r="L14" s="31"/>
      <c r="M14" s="31"/>
      <c r="N14" s="31"/>
      <c r="O14" s="31"/>
      <c r="P14" s="31"/>
      <c r="Q14" s="31"/>
      <c r="R14" s="31"/>
      <c r="S14" s="31"/>
      <c r="T14" s="31"/>
      <c r="U14" s="31"/>
      <c r="V14" s="31"/>
      <c r="W14" s="31"/>
      <c r="X14" s="31"/>
      <c r="Y14" s="31"/>
      <c r="Z14" s="31"/>
    </row>
    <row r="15" ht="33.75" customHeight="1">
      <c r="A15" s="32" t="s">
        <v>19</v>
      </c>
      <c r="B15" s="32" t="s">
        <v>20</v>
      </c>
      <c r="C15" s="32" t="s">
        <v>21</v>
      </c>
      <c r="D15" s="32" t="s">
        <v>22</v>
      </c>
      <c r="E15" s="32" t="s">
        <v>23</v>
      </c>
      <c r="F15" s="32" t="s">
        <v>24</v>
      </c>
      <c r="G15" s="31"/>
      <c r="H15" s="31"/>
      <c r="I15" s="31"/>
      <c r="J15" s="31"/>
      <c r="K15" s="31"/>
      <c r="L15" s="31"/>
      <c r="M15" s="31"/>
      <c r="N15" s="31"/>
      <c r="O15" s="31"/>
      <c r="P15" s="31"/>
      <c r="Q15" s="31"/>
      <c r="R15" s="31"/>
      <c r="S15" s="31"/>
      <c r="T15" s="31"/>
      <c r="U15" s="31"/>
      <c r="V15" s="31"/>
      <c r="W15" s="31"/>
      <c r="X15" s="31"/>
      <c r="Y15" s="31"/>
      <c r="Z15" s="31"/>
    </row>
    <row r="16" ht="23.25" customHeight="1">
      <c r="A16" s="33" t="s">
        <v>25</v>
      </c>
      <c r="B16" s="33" t="s">
        <v>26</v>
      </c>
      <c r="C16" s="33" t="s">
        <v>27</v>
      </c>
      <c r="D16" s="33" t="s">
        <v>28</v>
      </c>
      <c r="E16" s="33" t="s">
        <v>29</v>
      </c>
      <c r="F16" s="33"/>
      <c r="G16" s="31"/>
      <c r="H16" s="31"/>
      <c r="I16" s="31"/>
      <c r="J16" s="31"/>
      <c r="K16" s="31"/>
      <c r="L16" s="31"/>
      <c r="M16" s="31"/>
      <c r="N16" s="31"/>
      <c r="O16" s="31"/>
      <c r="P16" s="31"/>
      <c r="Q16" s="31"/>
      <c r="R16" s="31"/>
      <c r="S16" s="31"/>
      <c r="T16" s="31"/>
      <c r="U16" s="31"/>
      <c r="V16" s="31"/>
      <c r="W16" s="31"/>
      <c r="X16" s="31"/>
      <c r="Y16" s="31"/>
      <c r="Z16" s="31"/>
    </row>
    <row r="17" ht="13.5" customHeight="1">
      <c r="A17" s="34" t="s">
        <v>30</v>
      </c>
      <c r="B17" s="35" t="s">
        <v>31</v>
      </c>
      <c r="C17" s="36">
        <v>45016.0</v>
      </c>
      <c r="D17" s="34" t="s">
        <v>32</v>
      </c>
      <c r="E17" s="35" t="s">
        <v>33</v>
      </c>
      <c r="F17" s="37"/>
      <c r="G17" s="31"/>
      <c r="H17" s="31"/>
      <c r="I17" s="31"/>
      <c r="J17" s="31"/>
      <c r="K17" s="31"/>
      <c r="L17" s="31"/>
      <c r="M17" s="31"/>
      <c r="N17" s="31"/>
      <c r="O17" s="31"/>
      <c r="P17" s="31"/>
      <c r="Q17" s="31"/>
      <c r="R17" s="31"/>
      <c r="S17" s="31"/>
      <c r="T17" s="31"/>
      <c r="U17" s="31"/>
      <c r="V17" s="31"/>
      <c r="W17" s="31"/>
      <c r="X17" s="31"/>
      <c r="Y17" s="31"/>
      <c r="Z17" s="31"/>
    </row>
    <row r="18" ht="13.5" customHeight="1">
      <c r="A18" s="38"/>
      <c r="B18" s="35" t="s">
        <v>34</v>
      </c>
      <c r="C18" s="33">
        <f>IF(C17="","",IF(AND(MONTH(C17)&gt;=1,MONTH(C17)&lt;=3),1,IF(AND(MONTH(C17)&gt;=4,MONTH(C17)&lt;=6),2,IF(AND(MONTH(C17)&gt;=7,MONTH(C17)&lt;=9),3,4))))</f>
        <v>1</v>
      </c>
      <c r="D18" s="38"/>
      <c r="E18" s="35" t="s">
        <v>35</v>
      </c>
      <c r="F18" s="37"/>
      <c r="G18" s="31"/>
      <c r="H18" s="31"/>
      <c r="I18" s="31"/>
      <c r="J18" s="31"/>
      <c r="K18" s="31"/>
      <c r="L18" s="31"/>
      <c r="M18" s="31"/>
      <c r="N18" s="31"/>
      <c r="O18" s="31"/>
      <c r="P18" s="31"/>
      <c r="Q18" s="31"/>
      <c r="R18" s="31"/>
      <c r="S18" s="31"/>
      <c r="T18" s="31"/>
      <c r="U18" s="31"/>
      <c r="V18" s="31"/>
      <c r="W18" s="31"/>
      <c r="X18" s="31"/>
      <c r="Y18" s="31"/>
      <c r="Z18" s="31"/>
    </row>
    <row r="19" ht="13.5" customHeight="1">
      <c r="A19" s="38"/>
      <c r="B19" s="35" t="s">
        <v>36</v>
      </c>
      <c r="C19" s="36">
        <v>45076.0</v>
      </c>
      <c r="D19" s="38"/>
      <c r="E19" s="35" t="s">
        <v>37</v>
      </c>
      <c r="F19" s="37"/>
      <c r="G19" s="31"/>
      <c r="H19" s="31"/>
      <c r="I19" s="31"/>
      <c r="J19" s="31"/>
      <c r="K19" s="31"/>
      <c r="L19" s="31"/>
      <c r="M19" s="31"/>
      <c r="N19" s="31"/>
      <c r="O19" s="31"/>
      <c r="P19" s="31"/>
      <c r="Q19" s="31"/>
      <c r="R19" s="31"/>
      <c r="S19" s="31"/>
      <c r="T19" s="31"/>
      <c r="U19" s="31"/>
      <c r="V19" s="31"/>
      <c r="W19" s="31"/>
      <c r="X19" s="31"/>
      <c r="Y19" s="31"/>
      <c r="Z19" s="31"/>
    </row>
    <row r="20" ht="13.5" customHeight="1">
      <c r="A20" s="39"/>
      <c r="B20" s="35" t="s">
        <v>34</v>
      </c>
      <c r="C20" s="33">
        <f>IF(C19="","",IF(AND(MONTH(C19)&gt;=1,MONTH(C19)&lt;=3),1,IF(AND(MONTH(C19)&gt;=4,MONTH(C19)&lt;=6),2,IF(AND(MONTH(C19)&gt;=7,MONTH(C19)&lt;=9),3,4))))</f>
        <v>2</v>
      </c>
      <c r="D20" s="39"/>
      <c r="E20" s="35" t="s">
        <v>38</v>
      </c>
      <c r="F20" s="37"/>
      <c r="G20" s="31"/>
      <c r="H20" s="31"/>
      <c r="I20" s="31"/>
      <c r="J20" s="31"/>
      <c r="K20" s="31"/>
      <c r="L20" s="31"/>
      <c r="M20" s="31"/>
      <c r="N20" s="31"/>
      <c r="O20" s="31"/>
      <c r="P20" s="31"/>
      <c r="Q20" s="31"/>
      <c r="R20" s="31"/>
      <c r="S20" s="31"/>
      <c r="T20" s="31"/>
      <c r="U20" s="31"/>
      <c r="V20" s="31"/>
      <c r="W20" s="31"/>
      <c r="X20" s="31"/>
      <c r="Y20" s="31"/>
      <c r="Z20" s="31"/>
    </row>
    <row r="21" ht="13.5" customHeight="1">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row>
    <row r="22" ht="13.5" customHeight="1">
      <c r="A22" s="40" t="s">
        <v>39</v>
      </c>
      <c r="B22" s="40" t="s">
        <v>40</v>
      </c>
      <c r="C22" s="40" t="s">
        <v>41</v>
      </c>
      <c r="D22" s="40" t="s">
        <v>42</v>
      </c>
      <c r="E22" s="40" t="s">
        <v>43</v>
      </c>
      <c r="F22" s="40" t="s">
        <v>44</v>
      </c>
      <c r="G22" s="31"/>
      <c r="H22" s="31"/>
      <c r="I22" s="31"/>
      <c r="J22" s="31"/>
      <c r="K22" s="31"/>
      <c r="L22" s="31"/>
      <c r="M22" s="31"/>
      <c r="N22" s="31"/>
      <c r="O22" s="31"/>
      <c r="P22" s="31"/>
      <c r="Q22" s="31"/>
      <c r="R22" s="31"/>
      <c r="S22" s="31"/>
      <c r="T22" s="31"/>
      <c r="U22" s="31"/>
      <c r="V22" s="31"/>
      <c r="W22" s="31"/>
      <c r="X22" s="31"/>
      <c r="Y22" s="31"/>
      <c r="Z22" s="31"/>
    </row>
    <row r="23" ht="13.5" customHeight="1">
      <c r="A23" s="41" t="s">
        <v>45</v>
      </c>
      <c r="B23" s="41" t="str">
        <f t="shared" ref="B23:B24" si="1">IFERROR(INDEX(#REF!,MATCH(INDIRECT(ADDRESS(ROW(),COLUMN()-1,4)),#REF!,0)),IF(INDIRECT(ADDRESS(ROW(),COLUMN()-1,4))="50151513","Aceites vegetales o  de planta comestibles",""))</f>
        <v>Aceites vegetales o  de planta comestibles</v>
      </c>
      <c r="C23" s="42" t="str">
        <f t="shared" ref="C23:C63" si="2">IFERROR(VLOOKUP("UD",'Informacion '!P:Q,2,FALSE),"")</f>
        <v/>
      </c>
      <c r="D23" s="41">
        <v>3000.0</v>
      </c>
      <c r="E23" s="43">
        <v>347.6</v>
      </c>
      <c r="F23" s="43">
        <f t="shared" ref="F23:F63" si="3">INDIRECT(ADDRESS(ROW(),COLUMN()-2,4))*INDIRECT(ADDRESS(ROW(),COLUMN()-1,4))</f>
        <v>1042800</v>
      </c>
      <c r="G23" s="31"/>
      <c r="H23" s="31"/>
      <c r="I23" s="31"/>
      <c r="J23" s="31"/>
      <c r="K23" s="31"/>
      <c r="L23" s="31"/>
      <c r="M23" s="31"/>
      <c r="N23" s="31"/>
      <c r="O23" s="31"/>
      <c r="P23" s="31"/>
      <c r="Q23" s="31"/>
      <c r="R23" s="31"/>
      <c r="S23" s="31"/>
      <c r="T23" s="31"/>
      <c r="U23" s="31"/>
      <c r="V23" s="31"/>
      <c r="W23" s="31"/>
      <c r="X23" s="31"/>
      <c r="Y23" s="31"/>
      <c r="Z23" s="31"/>
    </row>
    <row r="24" ht="13.5" customHeight="1">
      <c r="A24" s="41" t="s">
        <v>45</v>
      </c>
      <c r="B24" s="41" t="str">
        <f t="shared" si="1"/>
        <v>Aceites vegetales o  de planta comestibles</v>
      </c>
      <c r="C24" s="42" t="str">
        <f t="shared" si="2"/>
        <v/>
      </c>
      <c r="D24" s="41">
        <v>26000.0</v>
      </c>
      <c r="E24" s="43">
        <v>210.36</v>
      </c>
      <c r="F24" s="43">
        <f t="shared" si="3"/>
        <v>5469360</v>
      </c>
      <c r="G24" s="31"/>
      <c r="H24" s="31"/>
      <c r="I24" s="31"/>
      <c r="J24" s="31"/>
      <c r="K24" s="31"/>
      <c r="L24" s="31"/>
      <c r="M24" s="31"/>
      <c r="N24" s="31"/>
      <c r="O24" s="31"/>
      <c r="P24" s="31"/>
      <c r="Q24" s="31"/>
      <c r="R24" s="31"/>
      <c r="S24" s="31"/>
      <c r="T24" s="31"/>
      <c r="U24" s="31"/>
      <c r="V24" s="31"/>
      <c r="W24" s="31"/>
      <c r="X24" s="31"/>
      <c r="Y24" s="31"/>
      <c r="Z24" s="31"/>
    </row>
    <row r="25" ht="13.5" customHeight="1">
      <c r="A25" s="41" t="s">
        <v>46</v>
      </c>
      <c r="B25" s="41" t="str">
        <f t="shared" ref="B25:B26" si="4">IFERROR(INDEX(#REF!,MATCH(INDIRECT(ADDRESS(ROW(),COLUMN()-1,4)),#REF!,0)),IF(INDIRECT(ADDRESS(ROW(),COLUMN()-1,4))="50221101","Grano de cereal",""))</f>
        <v>Grano de cereal</v>
      </c>
      <c r="C25" s="42" t="str">
        <f t="shared" si="2"/>
        <v/>
      </c>
      <c r="D25" s="41">
        <v>5000.0</v>
      </c>
      <c r="E25" s="43">
        <v>75.93</v>
      </c>
      <c r="F25" s="43">
        <f t="shared" si="3"/>
        <v>379650</v>
      </c>
      <c r="G25" s="31"/>
      <c r="H25" s="31"/>
      <c r="I25" s="31"/>
      <c r="J25" s="31"/>
      <c r="K25" s="31"/>
      <c r="L25" s="31"/>
      <c r="M25" s="31"/>
      <c r="N25" s="31"/>
      <c r="O25" s="31"/>
      <c r="P25" s="31"/>
      <c r="Q25" s="31"/>
      <c r="R25" s="31"/>
      <c r="S25" s="31"/>
      <c r="T25" s="31"/>
      <c r="U25" s="31"/>
      <c r="V25" s="31"/>
      <c r="W25" s="31"/>
      <c r="X25" s="31"/>
      <c r="Y25" s="31"/>
      <c r="Z25" s="31"/>
    </row>
    <row r="26" ht="13.5" customHeight="1">
      <c r="A26" s="41" t="s">
        <v>46</v>
      </c>
      <c r="B26" s="41" t="str">
        <f t="shared" si="4"/>
        <v>Grano de cereal</v>
      </c>
      <c r="C26" s="42" t="str">
        <f t="shared" si="2"/>
        <v/>
      </c>
      <c r="D26" s="41">
        <v>30000.0</v>
      </c>
      <c r="E26" s="43">
        <v>36.05</v>
      </c>
      <c r="F26" s="43">
        <f t="shared" si="3"/>
        <v>1081500</v>
      </c>
      <c r="G26" s="31"/>
      <c r="H26" s="31"/>
      <c r="I26" s="31"/>
      <c r="J26" s="31"/>
      <c r="K26" s="31"/>
      <c r="L26" s="31"/>
      <c r="M26" s="31"/>
      <c r="N26" s="31"/>
      <c r="O26" s="31"/>
      <c r="P26" s="31"/>
      <c r="Q26" s="31"/>
      <c r="R26" s="31"/>
      <c r="S26" s="31"/>
      <c r="T26" s="31"/>
      <c r="U26" s="31"/>
      <c r="V26" s="31"/>
      <c r="W26" s="31"/>
      <c r="X26" s="31"/>
      <c r="Y26" s="31"/>
      <c r="Z26" s="31"/>
    </row>
    <row r="27" ht="13.5" customHeight="1">
      <c r="A27" s="41" t="s">
        <v>47</v>
      </c>
      <c r="B27" s="41" t="str">
        <f t="shared" ref="B27:B28" si="5">IFERROR(INDEX(#REF!,MATCH(INDIRECT(ADDRESS(ROW(),COLUMN()-1,4)),#REF!,0)),IF(INDIRECT(ADDRESS(ROW(),COLUMN()-1,4))="50181903","Galletas sencillas de sal",""))</f>
        <v>Galletas sencillas de sal</v>
      </c>
      <c r="C27" s="42" t="str">
        <f t="shared" si="2"/>
        <v/>
      </c>
      <c r="D27" s="41">
        <v>20000.0</v>
      </c>
      <c r="E27" s="43">
        <v>65.01</v>
      </c>
      <c r="F27" s="43">
        <f t="shared" si="3"/>
        <v>1300200</v>
      </c>
      <c r="G27" s="31"/>
      <c r="H27" s="31"/>
      <c r="I27" s="31"/>
      <c r="J27" s="31"/>
      <c r="K27" s="31"/>
      <c r="L27" s="31"/>
      <c r="M27" s="31"/>
      <c r="N27" s="31"/>
      <c r="O27" s="31"/>
      <c r="P27" s="31"/>
      <c r="Q27" s="31"/>
      <c r="R27" s="31"/>
      <c r="S27" s="31"/>
      <c r="T27" s="31"/>
      <c r="U27" s="31"/>
      <c r="V27" s="31"/>
      <c r="W27" s="31"/>
      <c r="X27" s="31"/>
      <c r="Y27" s="31"/>
      <c r="Z27" s="31"/>
    </row>
    <row r="28" ht="13.5" customHeight="1">
      <c r="A28" s="41" t="s">
        <v>47</v>
      </c>
      <c r="B28" s="41" t="str">
        <f t="shared" si="5"/>
        <v>Galletas sencillas de sal</v>
      </c>
      <c r="C28" s="42" t="str">
        <f t="shared" si="2"/>
        <v/>
      </c>
      <c r="D28" s="41">
        <v>20000.0</v>
      </c>
      <c r="E28" s="43">
        <v>45.52</v>
      </c>
      <c r="F28" s="43">
        <f t="shared" si="3"/>
        <v>910400</v>
      </c>
      <c r="G28" s="31"/>
      <c r="H28" s="31"/>
      <c r="I28" s="31"/>
      <c r="J28" s="31"/>
      <c r="K28" s="31"/>
      <c r="L28" s="31"/>
      <c r="M28" s="31"/>
      <c r="N28" s="31"/>
      <c r="O28" s="31"/>
      <c r="P28" s="31"/>
      <c r="Q28" s="31"/>
      <c r="R28" s="31"/>
      <c r="S28" s="31"/>
      <c r="T28" s="31"/>
      <c r="U28" s="31"/>
      <c r="V28" s="31"/>
      <c r="W28" s="31"/>
      <c r="X28" s="31"/>
      <c r="Y28" s="31"/>
      <c r="Z28" s="31"/>
    </row>
    <row r="29" ht="13.5" customHeight="1">
      <c r="A29" s="41" t="s">
        <v>48</v>
      </c>
      <c r="B29" s="41" t="str">
        <f t="shared" ref="B29:B30" si="6">IFERROR(INDEX(#REF!,MATCH(INDIRECT(ADDRESS(ROW(),COLUMN()-1,4)),#REF!,0)),IF(INDIRECT(ADDRESS(ROW(),COLUMN()-1,4))="50171551","Sal de mesa",""))</f>
        <v>Sal de mesa</v>
      </c>
      <c r="C29" s="42" t="str">
        <f t="shared" si="2"/>
        <v/>
      </c>
      <c r="D29" s="41">
        <v>500.0</v>
      </c>
      <c r="E29" s="43">
        <v>174.9</v>
      </c>
      <c r="F29" s="43">
        <f t="shared" si="3"/>
        <v>87450</v>
      </c>
      <c r="G29" s="31"/>
      <c r="H29" s="31"/>
      <c r="I29" s="31"/>
      <c r="J29" s="31"/>
      <c r="K29" s="31"/>
      <c r="L29" s="31"/>
      <c r="M29" s="31"/>
      <c r="N29" s="31"/>
      <c r="O29" s="31"/>
      <c r="P29" s="31"/>
      <c r="Q29" s="31"/>
      <c r="R29" s="31"/>
      <c r="S29" s="31"/>
      <c r="T29" s="31"/>
      <c r="U29" s="31"/>
      <c r="V29" s="31"/>
      <c r="W29" s="31"/>
      <c r="X29" s="31"/>
      <c r="Y29" s="31"/>
      <c r="Z29" s="31"/>
    </row>
    <row r="30" ht="13.5" customHeight="1">
      <c r="A30" s="41" t="s">
        <v>48</v>
      </c>
      <c r="B30" s="41" t="str">
        <f t="shared" si="6"/>
        <v>Sal de mesa</v>
      </c>
      <c r="C30" s="42" t="str">
        <f t="shared" si="2"/>
        <v/>
      </c>
      <c r="D30" s="41">
        <v>17539.0</v>
      </c>
      <c r="E30" s="43">
        <v>9.16</v>
      </c>
      <c r="F30" s="43">
        <f t="shared" si="3"/>
        <v>160657.24</v>
      </c>
      <c r="G30" s="31"/>
      <c r="H30" s="31"/>
      <c r="I30" s="31"/>
      <c r="J30" s="31"/>
      <c r="K30" s="31"/>
      <c r="L30" s="31"/>
      <c r="M30" s="31"/>
      <c r="N30" s="31"/>
      <c r="O30" s="31"/>
      <c r="P30" s="31"/>
      <c r="Q30" s="31"/>
      <c r="R30" s="31"/>
      <c r="S30" s="31"/>
      <c r="T30" s="31"/>
      <c r="U30" s="31"/>
      <c r="V30" s="31"/>
      <c r="W30" s="31"/>
      <c r="X30" s="31"/>
      <c r="Y30" s="31"/>
      <c r="Z30" s="31"/>
    </row>
    <row r="31" ht="13.5" customHeight="1">
      <c r="A31" s="41" t="s">
        <v>49</v>
      </c>
      <c r="B31" s="41" t="str">
        <f t="shared" ref="B31:B32" si="7">IFERROR(INDEX(#REF!,MATCH(INDIRECT(ADDRESS(ROW(),COLUMN()-1,4)),#REF!,0)),IF(INDIRECT(ADDRESS(ROW(),COLUMN()-1,4))="50161509","Azucares naturales o productos endulzantes",""))</f>
        <v>Azucares naturales o productos endulzantes</v>
      </c>
      <c r="C31" s="42" t="str">
        <f t="shared" si="2"/>
        <v/>
      </c>
      <c r="D31" s="41">
        <v>3000.0</v>
      </c>
      <c r="E31" s="43">
        <v>290.95</v>
      </c>
      <c r="F31" s="43">
        <f t="shared" si="3"/>
        <v>872850</v>
      </c>
      <c r="G31" s="31"/>
      <c r="H31" s="31"/>
      <c r="I31" s="31"/>
      <c r="J31" s="31"/>
      <c r="K31" s="31"/>
      <c r="L31" s="31"/>
      <c r="M31" s="31"/>
      <c r="N31" s="31"/>
      <c r="O31" s="31"/>
      <c r="P31" s="31"/>
      <c r="Q31" s="31"/>
      <c r="R31" s="31"/>
      <c r="S31" s="31"/>
      <c r="T31" s="31"/>
      <c r="U31" s="31"/>
      <c r="V31" s="31"/>
      <c r="W31" s="31"/>
      <c r="X31" s="31"/>
      <c r="Y31" s="31"/>
      <c r="Z31" s="31"/>
    </row>
    <row r="32" ht="13.5" customHeight="1">
      <c r="A32" s="41" t="s">
        <v>49</v>
      </c>
      <c r="B32" s="41" t="str">
        <f t="shared" si="7"/>
        <v>Azucares naturales o productos endulzantes</v>
      </c>
      <c r="C32" s="42" t="str">
        <f t="shared" si="2"/>
        <v/>
      </c>
      <c r="D32" s="41">
        <v>40000.0</v>
      </c>
      <c r="E32" s="43">
        <v>146.3</v>
      </c>
      <c r="F32" s="43">
        <f t="shared" si="3"/>
        <v>5852000</v>
      </c>
      <c r="G32" s="31"/>
      <c r="H32" s="31"/>
      <c r="I32" s="31"/>
      <c r="J32" s="31"/>
      <c r="K32" s="31"/>
      <c r="L32" s="31"/>
      <c r="M32" s="31"/>
      <c r="N32" s="31"/>
      <c r="O32" s="31"/>
      <c r="P32" s="31"/>
      <c r="Q32" s="31"/>
      <c r="R32" s="31"/>
      <c r="S32" s="31"/>
      <c r="T32" s="31"/>
      <c r="U32" s="31"/>
      <c r="V32" s="31"/>
      <c r="W32" s="31"/>
      <c r="X32" s="31"/>
      <c r="Y32" s="31"/>
      <c r="Z32" s="31"/>
    </row>
    <row r="33" ht="13.5" customHeight="1">
      <c r="A33" s="41" t="s">
        <v>50</v>
      </c>
      <c r="B33" s="41" t="str">
        <f t="array" ref="B33">IFERROR(INDEX(#REF!,MATCH(INDIRECT(ADDRESS(ROW(),COLUMN()-1,4)),#REF!,0)),IF(INDIRECT(ADDRESS(ROW(),COLUMN()-1,4))="50161511","Chocolate o sustituto de chocolate",""))</f>
        <v>Chocolate o sustituto de chocolate</v>
      </c>
      <c r="C33" s="42" t="str">
        <f t="shared" si="2"/>
        <v/>
      </c>
      <c r="D33" s="41">
        <v>25000.0</v>
      </c>
      <c r="E33" s="43">
        <v>100.39</v>
      </c>
      <c r="F33" s="43">
        <f t="shared" si="3"/>
        <v>2509750</v>
      </c>
      <c r="G33" s="31"/>
      <c r="H33" s="31"/>
      <c r="I33" s="31"/>
      <c r="J33" s="31"/>
      <c r="K33" s="31"/>
      <c r="L33" s="31"/>
      <c r="M33" s="31"/>
      <c r="N33" s="31"/>
      <c r="O33" s="31"/>
      <c r="P33" s="31"/>
      <c r="Q33" s="31"/>
      <c r="R33" s="31"/>
      <c r="S33" s="31"/>
      <c r="T33" s="31"/>
      <c r="U33" s="31"/>
      <c r="V33" s="31"/>
      <c r="W33" s="31"/>
      <c r="X33" s="31"/>
      <c r="Y33" s="31"/>
      <c r="Z33" s="31"/>
    </row>
    <row r="34" ht="13.5" customHeight="1">
      <c r="A34" s="41" t="s">
        <v>51</v>
      </c>
      <c r="B34" s="41" t="str">
        <f t="array" ref="B34">IFERROR(INDEX(#REF!,MATCH(INDIRECT(ADDRESS(ROW(),COLUMN()-1,4)),#REF!,0)),IF(INDIRECT(ADDRESS(ROW(),COLUMN()-1,4))="50192401","Mermeladas o preservativos de fruta",""))</f>
        <v>Mermeladas o preservativos de fruta</v>
      </c>
      <c r="C34" s="42" t="str">
        <f t="shared" si="2"/>
        <v/>
      </c>
      <c r="D34" s="41">
        <v>25000.0</v>
      </c>
      <c r="E34" s="43">
        <v>23.71</v>
      </c>
      <c r="F34" s="43">
        <f t="shared" si="3"/>
        <v>592750</v>
      </c>
      <c r="G34" s="31"/>
      <c r="H34" s="31"/>
      <c r="I34" s="31"/>
      <c r="J34" s="31"/>
      <c r="K34" s="31"/>
      <c r="L34" s="31"/>
      <c r="M34" s="31"/>
      <c r="N34" s="31"/>
      <c r="O34" s="31"/>
      <c r="P34" s="31"/>
      <c r="Q34" s="31"/>
      <c r="R34" s="31"/>
      <c r="S34" s="31"/>
      <c r="T34" s="31"/>
      <c r="U34" s="31"/>
      <c r="V34" s="31"/>
      <c r="W34" s="31"/>
      <c r="X34" s="31"/>
      <c r="Y34" s="31"/>
      <c r="Z34" s="31"/>
    </row>
    <row r="35" ht="13.5" customHeight="1">
      <c r="A35" s="41" t="s">
        <v>52</v>
      </c>
      <c r="B35" s="41" t="str">
        <f t="array" ref="B35">IFERROR(INDEX(#REF!,MATCH(INDIRECT(ADDRESS(ROW(),COLUMN()-1,4)),#REF!,0)),IF(INDIRECT(ADDRESS(ROW(),COLUMN()-1,4))="50202304","Jugos de repisa",""))</f>
        <v>Jugos de repisa</v>
      </c>
      <c r="C35" s="42" t="str">
        <f t="shared" si="2"/>
        <v/>
      </c>
      <c r="D35" s="41">
        <v>25000.0</v>
      </c>
      <c r="E35" s="43">
        <v>12.11</v>
      </c>
      <c r="F35" s="43">
        <f t="shared" si="3"/>
        <v>302750</v>
      </c>
      <c r="G35" s="31"/>
      <c r="H35" s="31"/>
      <c r="I35" s="31"/>
      <c r="J35" s="31"/>
      <c r="K35" s="31"/>
      <c r="L35" s="31"/>
      <c r="M35" s="31"/>
      <c r="N35" s="31"/>
      <c r="O35" s="31"/>
      <c r="P35" s="31"/>
      <c r="Q35" s="31"/>
      <c r="R35" s="31"/>
      <c r="S35" s="31"/>
      <c r="T35" s="31"/>
      <c r="U35" s="31"/>
      <c r="V35" s="31"/>
      <c r="W35" s="31"/>
      <c r="X35" s="31"/>
      <c r="Y35" s="31"/>
      <c r="Z35" s="31"/>
    </row>
    <row r="36" ht="13.5" customHeight="1">
      <c r="A36" s="41" t="s">
        <v>53</v>
      </c>
      <c r="B36" s="41" t="str">
        <f t="array" ref="B36">IFERROR(INDEX(#REF!,MATCH(INDIRECT(ADDRESS(ROW(),COLUMN()-1,4)),#REF!,0)),IF(INDIRECT(ADDRESS(ROW(),COLUMN()-1,4))="50202309","Bebidas deportivas o de energía",""))</f>
        <v>Bebidas deportivas o de energía</v>
      </c>
      <c r="C36" s="42" t="str">
        <f t="shared" si="2"/>
        <v/>
      </c>
      <c r="D36" s="41">
        <v>45000.0</v>
      </c>
      <c r="E36" s="43">
        <v>60.29</v>
      </c>
      <c r="F36" s="43">
        <f t="shared" si="3"/>
        <v>2713050</v>
      </c>
      <c r="G36" s="31"/>
      <c r="H36" s="31"/>
      <c r="I36" s="31"/>
      <c r="J36" s="31"/>
      <c r="K36" s="31"/>
      <c r="L36" s="31"/>
      <c r="M36" s="31"/>
      <c r="N36" s="31"/>
      <c r="O36" s="31"/>
      <c r="P36" s="31"/>
      <c r="Q36" s="31"/>
      <c r="R36" s="31"/>
      <c r="S36" s="31"/>
      <c r="T36" s="31"/>
      <c r="U36" s="31"/>
      <c r="V36" s="31"/>
      <c r="W36" s="31"/>
      <c r="X36" s="31"/>
      <c r="Y36" s="31"/>
      <c r="Z36" s="31"/>
    </row>
    <row r="37" ht="13.5" customHeight="1">
      <c r="A37" s="41" t="s">
        <v>54</v>
      </c>
      <c r="B37" s="41" t="str">
        <f t="shared" ref="B37:B38" si="8">IFERROR(INDEX(#REF!,MATCH(INDIRECT(ADDRESS(ROW(),COLUMN()-1,4)),#REF!,0)),IF(INDIRECT(ADDRESS(ROW(),COLUMN()-1,4))="50192110","Nueces o fruta disecada",""))</f>
        <v>Nueces o fruta disecada</v>
      </c>
      <c r="C37" s="42" t="str">
        <f t="shared" si="2"/>
        <v/>
      </c>
      <c r="D37" s="41">
        <v>2000.0</v>
      </c>
      <c r="E37" s="43">
        <v>130.27</v>
      </c>
      <c r="F37" s="43">
        <f t="shared" si="3"/>
        <v>260540</v>
      </c>
      <c r="G37" s="31"/>
      <c r="H37" s="31"/>
      <c r="I37" s="31"/>
      <c r="J37" s="31"/>
      <c r="K37" s="31"/>
      <c r="L37" s="31"/>
      <c r="M37" s="31"/>
      <c r="N37" s="31"/>
      <c r="O37" s="31"/>
      <c r="P37" s="31"/>
      <c r="Q37" s="31"/>
      <c r="R37" s="31"/>
      <c r="S37" s="31"/>
      <c r="T37" s="31"/>
      <c r="U37" s="31"/>
      <c r="V37" s="31"/>
      <c r="W37" s="31"/>
      <c r="X37" s="31"/>
      <c r="Y37" s="31"/>
      <c r="Z37" s="31"/>
    </row>
    <row r="38" ht="13.5" customHeight="1">
      <c r="A38" s="41" t="s">
        <v>54</v>
      </c>
      <c r="B38" s="41" t="str">
        <f t="shared" si="8"/>
        <v>Nueces o fruta disecada</v>
      </c>
      <c r="C38" s="42" t="str">
        <f t="shared" si="2"/>
        <v/>
      </c>
      <c r="D38" s="41">
        <v>35000.0</v>
      </c>
      <c r="E38" s="43">
        <v>14.2</v>
      </c>
      <c r="F38" s="43">
        <f t="shared" si="3"/>
        <v>497000</v>
      </c>
      <c r="G38" s="31"/>
      <c r="H38" s="31"/>
      <c r="I38" s="31"/>
      <c r="J38" s="31"/>
      <c r="K38" s="31"/>
      <c r="L38" s="31"/>
      <c r="M38" s="31"/>
      <c r="N38" s="31"/>
      <c r="O38" s="31"/>
      <c r="P38" s="31"/>
      <c r="Q38" s="31"/>
      <c r="R38" s="31"/>
      <c r="S38" s="31"/>
      <c r="T38" s="31"/>
      <c r="U38" s="31"/>
      <c r="V38" s="31"/>
      <c r="W38" s="31"/>
      <c r="X38" s="31"/>
      <c r="Y38" s="31"/>
      <c r="Z38" s="31"/>
    </row>
    <row r="39" ht="13.5" customHeight="1">
      <c r="A39" s="41" t="s">
        <v>55</v>
      </c>
      <c r="B39" s="41" t="str">
        <f t="shared" ref="B39:B41" si="9">IFERROR(INDEX(#REF!,MATCH(INDIRECT(ADDRESS(ROW(),COLUMN()-1,4)),#REF!,0)),IF(INDIRECT(ADDRESS(ROW(),COLUMN()-1,4))="50192901","Pasta sencilla o fideos",""))</f>
        <v>Pasta sencilla o fideos</v>
      </c>
      <c r="C39" s="42" t="str">
        <f t="shared" si="2"/>
        <v/>
      </c>
      <c r="D39" s="41">
        <v>35000.0</v>
      </c>
      <c r="E39" s="43">
        <v>34.65</v>
      </c>
      <c r="F39" s="43">
        <f t="shared" si="3"/>
        <v>1212750</v>
      </c>
      <c r="G39" s="31"/>
      <c r="H39" s="31"/>
      <c r="I39" s="31"/>
      <c r="J39" s="31"/>
      <c r="K39" s="31"/>
      <c r="L39" s="31"/>
      <c r="M39" s="31"/>
      <c r="N39" s="31"/>
      <c r="O39" s="31"/>
      <c r="P39" s="31"/>
      <c r="Q39" s="31"/>
      <c r="R39" s="31"/>
      <c r="S39" s="31"/>
      <c r="T39" s="31"/>
      <c r="U39" s="31"/>
      <c r="V39" s="31"/>
      <c r="W39" s="31"/>
      <c r="X39" s="31"/>
      <c r="Y39" s="31"/>
      <c r="Z39" s="31"/>
    </row>
    <row r="40" ht="13.5" customHeight="1">
      <c r="A40" s="41" t="s">
        <v>55</v>
      </c>
      <c r="B40" s="41" t="str">
        <f t="shared" si="9"/>
        <v>Pasta sencilla o fideos</v>
      </c>
      <c r="C40" s="42" t="str">
        <f t="shared" si="2"/>
        <v/>
      </c>
      <c r="D40" s="41">
        <v>50000.0</v>
      </c>
      <c r="E40" s="43">
        <v>34.65</v>
      </c>
      <c r="F40" s="43">
        <f t="shared" si="3"/>
        <v>1732500</v>
      </c>
      <c r="G40" s="31"/>
      <c r="H40" s="31"/>
      <c r="I40" s="31"/>
      <c r="J40" s="31"/>
      <c r="K40" s="31"/>
      <c r="L40" s="31"/>
      <c r="M40" s="31"/>
      <c r="N40" s="31"/>
      <c r="O40" s="31"/>
      <c r="P40" s="31"/>
      <c r="Q40" s="31"/>
      <c r="R40" s="31"/>
      <c r="S40" s="31"/>
      <c r="T40" s="31"/>
      <c r="U40" s="31"/>
      <c r="V40" s="31"/>
      <c r="W40" s="31"/>
      <c r="X40" s="31"/>
      <c r="Y40" s="31"/>
      <c r="Z40" s="31"/>
    </row>
    <row r="41" ht="13.5" customHeight="1">
      <c r="A41" s="41" t="s">
        <v>55</v>
      </c>
      <c r="B41" s="41" t="str">
        <f t="shared" si="9"/>
        <v>Pasta sencilla o fideos</v>
      </c>
      <c r="C41" s="42" t="str">
        <f t="shared" si="2"/>
        <v/>
      </c>
      <c r="D41" s="41">
        <v>30000.0</v>
      </c>
      <c r="E41" s="43">
        <v>34.65</v>
      </c>
      <c r="F41" s="43">
        <f t="shared" si="3"/>
        <v>1039500</v>
      </c>
      <c r="G41" s="31"/>
      <c r="H41" s="31"/>
      <c r="I41" s="31"/>
      <c r="J41" s="31"/>
      <c r="K41" s="31"/>
      <c r="L41" s="31"/>
      <c r="M41" s="31"/>
      <c r="N41" s="31"/>
      <c r="O41" s="31"/>
      <c r="P41" s="31"/>
      <c r="Q41" s="31"/>
      <c r="R41" s="31"/>
      <c r="S41" s="31"/>
      <c r="T41" s="31"/>
      <c r="U41" s="31"/>
      <c r="V41" s="31"/>
      <c r="W41" s="31"/>
      <c r="X41" s="31"/>
      <c r="Y41" s="31"/>
      <c r="Z41" s="31"/>
    </row>
    <row r="42" ht="13.5" customHeight="1">
      <c r="A42" s="41" t="s">
        <v>56</v>
      </c>
      <c r="B42" s="41" t="str">
        <f t="array" ref="B42">IFERROR(INDEX(#REF!,MATCH(INDIRECT(ADDRESS(ROW(),COLUMN()-1,4)),#REF!,0)),IF(INDIRECT(ADDRESS(ROW(),COLUMN()-1,4))="50221102","Grano de harina",""))</f>
        <v>Grano de harina</v>
      </c>
      <c r="C42" s="42" t="str">
        <f t="shared" si="2"/>
        <v/>
      </c>
      <c r="D42" s="41">
        <v>35000.0</v>
      </c>
      <c r="E42" s="43">
        <v>85.8</v>
      </c>
      <c r="F42" s="43">
        <f t="shared" si="3"/>
        <v>3003000</v>
      </c>
      <c r="G42" s="31"/>
      <c r="H42" s="31"/>
      <c r="I42" s="31"/>
      <c r="J42" s="31"/>
      <c r="K42" s="31"/>
      <c r="L42" s="31"/>
      <c r="M42" s="31"/>
      <c r="N42" s="31"/>
      <c r="O42" s="31"/>
      <c r="P42" s="31"/>
      <c r="Q42" s="31"/>
      <c r="R42" s="31"/>
      <c r="S42" s="31"/>
      <c r="T42" s="31"/>
      <c r="U42" s="31"/>
      <c r="V42" s="31"/>
      <c r="W42" s="31"/>
      <c r="X42" s="31"/>
      <c r="Y42" s="31"/>
      <c r="Z42" s="31"/>
    </row>
    <row r="43" ht="13.5" customHeight="1">
      <c r="A43" s="41" t="s">
        <v>46</v>
      </c>
      <c r="B43" s="41" t="str">
        <f t="shared" ref="B43:B44" si="10">IFERROR(INDEX(#REF!,MATCH(INDIRECT(ADDRESS(ROW(),COLUMN()-1,4)),#REF!,0)),IF(INDIRECT(ADDRESS(ROW(),COLUMN()-1,4))="50221101","Grano de cereal",""))</f>
        <v>Grano de cereal</v>
      </c>
      <c r="C43" s="42" t="str">
        <f t="shared" si="2"/>
        <v/>
      </c>
      <c r="D43" s="41">
        <v>25500.0</v>
      </c>
      <c r="E43" s="43">
        <v>23.61</v>
      </c>
      <c r="F43" s="43">
        <f t="shared" si="3"/>
        <v>602055</v>
      </c>
      <c r="G43" s="31"/>
      <c r="H43" s="31"/>
      <c r="I43" s="31"/>
      <c r="J43" s="31"/>
      <c r="K43" s="31"/>
      <c r="L43" s="31"/>
      <c r="M43" s="31"/>
      <c r="N43" s="31"/>
      <c r="O43" s="31"/>
      <c r="P43" s="31"/>
      <c r="Q43" s="31"/>
      <c r="R43" s="31"/>
      <c r="S43" s="31"/>
      <c r="T43" s="31"/>
      <c r="U43" s="31"/>
      <c r="V43" s="31"/>
      <c r="W43" s="31"/>
      <c r="X43" s="31"/>
      <c r="Y43" s="31"/>
      <c r="Z43" s="31"/>
    </row>
    <row r="44" ht="13.5" customHeight="1">
      <c r="A44" s="41" t="s">
        <v>46</v>
      </c>
      <c r="B44" s="41" t="str">
        <f t="shared" si="10"/>
        <v>Grano de cereal</v>
      </c>
      <c r="C44" s="42" t="str">
        <f t="shared" si="2"/>
        <v/>
      </c>
      <c r="D44" s="41">
        <v>30000.0</v>
      </c>
      <c r="E44" s="43">
        <v>33.79</v>
      </c>
      <c r="F44" s="43">
        <f t="shared" si="3"/>
        <v>1013700</v>
      </c>
      <c r="G44" s="31"/>
      <c r="H44" s="31"/>
      <c r="I44" s="31"/>
      <c r="J44" s="31"/>
      <c r="K44" s="31"/>
      <c r="L44" s="31"/>
      <c r="M44" s="31"/>
      <c r="N44" s="31"/>
      <c r="O44" s="31"/>
      <c r="P44" s="31"/>
      <c r="Q44" s="31"/>
      <c r="R44" s="31"/>
      <c r="S44" s="31"/>
      <c r="T44" s="31"/>
      <c r="U44" s="31"/>
      <c r="V44" s="31"/>
      <c r="W44" s="31"/>
      <c r="X44" s="31"/>
      <c r="Y44" s="31"/>
      <c r="Z44" s="31"/>
    </row>
    <row r="45" ht="13.5" customHeight="1">
      <c r="A45" s="41" t="s">
        <v>57</v>
      </c>
      <c r="B45" s="41" t="str">
        <f t="shared" ref="B45:B46" si="11">IFERROR(INDEX(#REF!,MATCH(INDIRECT(ADDRESS(ROW(),COLUMN()-1,4)),#REF!,0)),IF(INDIRECT(ADDRESS(ROW(),COLUMN()-1,4))="50131702","Productos de leche o mantequilla de estante",""))</f>
        <v>Productos de leche o mantequilla de estante</v>
      </c>
      <c r="C45" s="42" t="str">
        <f t="shared" si="2"/>
        <v/>
      </c>
      <c r="D45" s="41">
        <v>60000.0</v>
      </c>
      <c r="E45" s="43">
        <v>154.44</v>
      </c>
      <c r="F45" s="43">
        <f t="shared" si="3"/>
        <v>9266400</v>
      </c>
      <c r="G45" s="31"/>
      <c r="H45" s="31"/>
      <c r="I45" s="31"/>
      <c r="J45" s="31"/>
      <c r="K45" s="31"/>
      <c r="L45" s="31"/>
      <c r="M45" s="31"/>
      <c r="N45" s="31"/>
      <c r="O45" s="31"/>
      <c r="P45" s="31"/>
      <c r="Q45" s="31"/>
      <c r="R45" s="31"/>
      <c r="S45" s="31"/>
      <c r="T45" s="31"/>
      <c r="U45" s="31"/>
      <c r="V45" s="31"/>
      <c r="W45" s="31"/>
      <c r="X45" s="31"/>
      <c r="Y45" s="31"/>
      <c r="Z45" s="31"/>
    </row>
    <row r="46" ht="13.5" customHeight="1">
      <c r="A46" s="41" t="s">
        <v>57</v>
      </c>
      <c r="B46" s="41" t="str">
        <f t="shared" si="11"/>
        <v>Productos de leche o mantequilla de estante</v>
      </c>
      <c r="C46" s="42" t="str">
        <f t="shared" si="2"/>
        <v/>
      </c>
      <c r="D46" s="41">
        <v>15000.0</v>
      </c>
      <c r="E46" s="43">
        <v>74.65</v>
      </c>
      <c r="F46" s="43">
        <f t="shared" si="3"/>
        <v>1119750</v>
      </c>
      <c r="G46" s="31"/>
      <c r="H46" s="31"/>
      <c r="I46" s="31"/>
      <c r="J46" s="31"/>
      <c r="K46" s="31"/>
      <c r="L46" s="31"/>
      <c r="M46" s="31"/>
      <c r="N46" s="31"/>
      <c r="O46" s="31"/>
      <c r="P46" s="31"/>
      <c r="Q46" s="31"/>
      <c r="R46" s="31"/>
      <c r="S46" s="31"/>
      <c r="T46" s="31"/>
      <c r="U46" s="31"/>
      <c r="V46" s="31"/>
      <c r="W46" s="31"/>
      <c r="X46" s="31"/>
      <c r="Y46" s="31"/>
      <c r="Z46" s="31"/>
    </row>
    <row r="47" ht="13.5" customHeight="1">
      <c r="A47" s="41" t="s">
        <v>58</v>
      </c>
      <c r="B47" s="41" t="str">
        <f t="shared" ref="B47:B49" si="12">IFERROR(INDEX(#REF!,MATCH(INDIRECT(ADDRESS(ROW(),COLUMN()-1,4)),#REF!,0)),IF(INDIRECT(ADDRESS(ROW(),COLUMN()-1,4))="50221001","Granos",""))</f>
        <v>Granos</v>
      </c>
      <c r="C47" s="42" t="str">
        <f t="shared" si="2"/>
        <v/>
      </c>
      <c r="D47" s="41">
        <v>40000.0</v>
      </c>
      <c r="E47" s="43">
        <v>67.98</v>
      </c>
      <c r="F47" s="43">
        <f t="shared" si="3"/>
        <v>2719200</v>
      </c>
      <c r="G47" s="31"/>
      <c r="H47" s="31"/>
      <c r="I47" s="31"/>
      <c r="J47" s="31"/>
      <c r="K47" s="31"/>
      <c r="L47" s="31"/>
      <c r="M47" s="31"/>
      <c r="N47" s="31"/>
      <c r="O47" s="31"/>
      <c r="P47" s="31"/>
      <c r="Q47" s="31"/>
      <c r="R47" s="31"/>
      <c r="S47" s="31"/>
      <c r="T47" s="31"/>
      <c r="U47" s="31"/>
      <c r="V47" s="31"/>
      <c r="W47" s="31"/>
      <c r="X47" s="31"/>
      <c r="Y47" s="31"/>
      <c r="Z47" s="31"/>
    </row>
    <row r="48" ht="13.5" customHeight="1">
      <c r="A48" s="41" t="s">
        <v>58</v>
      </c>
      <c r="B48" s="41" t="str">
        <f t="shared" si="12"/>
        <v>Granos</v>
      </c>
      <c r="C48" s="42" t="str">
        <f t="shared" si="2"/>
        <v/>
      </c>
      <c r="D48" s="41">
        <v>24500.0</v>
      </c>
      <c r="E48" s="43">
        <v>44.08</v>
      </c>
      <c r="F48" s="43">
        <f t="shared" si="3"/>
        <v>1079960</v>
      </c>
      <c r="G48" s="31"/>
      <c r="H48" s="31"/>
      <c r="I48" s="31"/>
      <c r="J48" s="31"/>
      <c r="K48" s="31"/>
      <c r="L48" s="31"/>
      <c r="M48" s="31"/>
      <c r="N48" s="31"/>
      <c r="O48" s="31"/>
      <c r="P48" s="31"/>
      <c r="Q48" s="31"/>
      <c r="R48" s="31"/>
      <c r="S48" s="31"/>
      <c r="T48" s="31"/>
      <c r="U48" s="31"/>
      <c r="V48" s="31"/>
      <c r="W48" s="31"/>
      <c r="X48" s="31"/>
      <c r="Y48" s="31"/>
      <c r="Z48" s="31"/>
    </row>
    <row r="49" ht="13.5" customHeight="1">
      <c r="A49" s="41" t="s">
        <v>58</v>
      </c>
      <c r="B49" s="41" t="str">
        <f t="shared" si="12"/>
        <v>Granos</v>
      </c>
      <c r="C49" s="42" t="str">
        <f t="shared" si="2"/>
        <v/>
      </c>
      <c r="D49" s="41">
        <v>30000.0</v>
      </c>
      <c r="E49" s="43">
        <v>44.08</v>
      </c>
      <c r="F49" s="43">
        <f t="shared" si="3"/>
        <v>1322400</v>
      </c>
      <c r="G49" s="31"/>
      <c r="H49" s="31"/>
      <c r="I49" s="31"/>
      <c r="J49" s="31"/>
      <c r="K49" s="31"/>
      <c r="L49" s="31"/>
      <c r="M49" s="31"/>
      <c r="N49" s="31"/>
      <c r="O49" s="31"/>
      <c r="P49" s="31"/>
      <c r="Q49" s="31"/>
      <c r="R49" s="31"/>
      <c r="S49" s="31"/>
      <c r="T49" s="31"/>
      <c r="U49" s="31"/>
      <c r="V49" s="31"/>
      <c r="W49" s="31"/>
      <c r="X49" s="31"/>
      <c r="Y49" s="31"/>
      <c r="Z49" s="31"/>
    </row>
    <row r="50" ht="13.5" customHeight="1">
      <c r="A50" s="41" t="s">
        <v>59</v>
      </c>
      <c r="B50" s="41" t="str">
        <f t="array" ref="B50">IFERROR(INDEX(#REF!,MATCH(INDIRECT(ADDRESS(ROW(),COLUMN()-1,4)),#REF!,0)),IF(INDIRECT(ADDRESS(ROW(),COLUMN()-1,4))="50111512","Carne de ave o carne en conserva",""))</f>
        <v>Carne de ave o carne en conserva</v>
      </c>
      <c r="C50" s="42" t="str">
        <f t="shared" si="2"/>
        <v/>
      </c>
      <c r="D50" s="41">
        <v>35000.0</v>
      </c>
      <c r="E50" s="43">
        <v>31.98</v>
      </c>
      <c r="F50" s="43">
        <f t="shared" si="3"/>
        <v>1119300</v>
      </c>
      <c r="G50" s="31"/>
      <c r="H50" s="31"/>
      <c r="I50" s="31"/>
      <c r="J50" s="31"/>
      <c r="K50" s="31"/>
      <c r="L50" s="31"/>
      <c r="M50" s="31"/>
      <c r="N50" s="31"/>
      <c r="O50" s="31"/>
      <c r="P50" s="31"/>
      <c r="Q50" s="31"/>
      <c r="R50" s="31"/>
      <c r="S50" s="31"/>
      <c r="T50" s="31"/>
      <c r="U50" s="31"/>
      <c r="V50" s="31"/>
      <c r="W50" s="31"/>
      <c r="X50" s="31"/>
      <c r="Y50" s="31"/>
      <c r="Z50" s="31"/>
    </row>
    <row r="51" ht="13.5" customHeight="1">
      <c r="A51" s="41" t="s">
        <v>60</v>
      </c>
      <c r="B51" s="41" t="str">
        <f t="shared" ref="B51:B54" si="13">IFERROR(INDEX(#REF!,MATCH(INDIRECT(ADDRESS(ROW(),COLUMN()-1,4)),#REF!,0)),IF(INDIRECT(ADDRESS(ROW(),COLUMN()-1,4))="50121538","Pescado almacenado en repisa",""))</f>
        <v>Pescado almacenado en repisa</v>
      </c>
      <c r="C51" s="42" t="str">
        <f t="shared" si="2"/>
        <v/>
      </c>
      <c r="D51" s="41">
        <v>40000.0</v>
      </c>
      <c r="E51" s="43">
        <v>75.9</v>
      </c>
      <c r="F51" s="43">
        <f t="shared" si="3"/>
        <v>3036000</v>
      </c>
      <c r="G51" s="31"/>
      <c r="H51" s="31"/>
      <c r="I51" s="31"/>
      <c r="J51" s="31"/>
      <c r="K51" s="31"/>
      <c r="L51" s="31"/>
      <c r="M51" s="31"/>
      <c r="N51" s="31"/>
      <c r="O51" s="31"/>
      <c r="P51" s="31"/>
      <c r="Q51" s="31"/>
      <c r="R51" s="31"/>
      <c r="S51" s="31"/>
      <c r="T51" s="31"/>
      <c r="U51" s="31"/>
      <c r="V51" s="31"/>
      <c r="W51" s="31"/>
      <c r="X51" s="31"/>
      <c r="Y51" s="31"/>
      <c r="Z51" s="31"/>
    </row>
    <row r="52" ht="13.5" customHeight="1">
      <c r="A52" s="41" t="s">
        <v>60</v>
      </c>
      <c r="B52" s="41" t="str">
        <f t="shared" si="13"/>
        <v>Pescado almacenado en repisa</v>
      </c>
      <c r="C52" s="42" t="str">
        <f t="shared" si="2"/>
        <v/>
      </c>
      <c r="D52" s="41">
        <v>40000.0</v>
      </c>
      <c r="E52" s="43">
        <v>75.9</v>
      </c>
      <c r="F52" s="43">
        <f t="shared" si="3"/>
        <v>3036000</v>
      </c>
      <c r="G52" s="31"/>
      <c r="H52" s="31"/>
      <c r="I52" s="31"/>
      <c r="J52" s="31"/>
      <c r="K52" s="31"/>
      <c r="L52" s="31"/>
      <c r="M52" s="31"/>
      <c r="N52" s="31"/>
      <c r="O52" s="31"/>
      <c r="P52" s="31"/>
      <c r="Q52" s="31"/>
      <c r="R52" s="31"/>
      <c r="S52" s="31"/>
      <c r="T52" s="31"/>
      <c r="U52" s="31"/>
      <c r="V52" s="31"/>
      <c r="W52" s="31"/>
      <c r="X52" s="31"/>
      <c r="Y52" s="31"/>
      <c r="Z52" s="31"/>
    </row>
    <row r="53" ht="13.5" customHeight="1">
      <c r="A53" s="41" t="s">
        <v>60</v>
      </c>
      <c r="B53" s="41" t="str">
        <f t="shared" si="13"/>
        <v>Pescado almacenado en repisa</v>
      </c>
      <c r="C53" s="42" t="str">
        <f t="shared" si="2"/>
        <v/>
      </c>
      <c r="D53" s="41">
        <v>40000.0</v>
      </c>
      <c r="E53" s="43">
        <v>62.15</v>
      </c>
      <c r="F53" s="43">
        <f t="shared" si="3"/>
        <v>2486000</v>
      </c>
      <c r="G53" s="31"/>
      <c r="H53" s="31"/>
      <c r="I53" s="31"/>
      <c r="J53" s="31"/>
      <c r="K53" s="31"/>
      <c r="L53" s="31"/>
      <c r="M53" s="31"/>
      <c r="N53" s="31"/>
      <c r="O53" s="31"/>
      <c r="P53" s="31"/>
      <c r="Q53" s="31"/>
      <c r="R53" s="31"/>
      <c r="S53" s="31"/>
      <c r="T53" s="31"/>
      <c r="U53" s="31"/>
      <c r="V53" s="31"/>
      <c r="W53" s="31"/>
      <c r="X53" s="31"/>
      <c r="Y53" s="31"/>
      <c r="Z53" s="31"/>
    </row>
    <row r="54" ht="13.5" customHeight="1">
      <c r="A54" s="41" t="s">
        <v>60</v>
      </c>
      <c r="B54" s="41" t="str">
        <f t="shared" si="13"/>
        <v>Pescado almacenado en repisa</v>
      </c>
      <c r="C54" s="42" t="str">
        <f t="shared" si="2"/>
        <v/>
      </c>
      <c r="D54" s="41">
        <v>40000.0</v>
      </c>
      <c r="E54" s="43">
        <v>93.5</v>
      </c>
      <c r="F54" s="43">
        <f t="shared" si="3"/>
        <v>3740000</v>
      </c>
      <c r="G54" s="31"/>
      <c r="H54" s="31"/>
      <c r="I54" s="31"/>
      <c r="J54" s="31"/>
      <c r="K54" s="31"/>
      <c r="L54" s="31"/>
      <c r="M54" s="31"/>
      <c r="N54" s="31"/>
      <c r="O54" s="31"/>
      <c r="P54" s="31"/>
      <c r="Q54" s="31"/>
      <c r="R54" s="31"/>
      <c r="S54" s="31"/>
      <c r="T54" s="31"/>
      <c r="U54" s="31"/>
      <c r="V54" s="31"/>
      <c r="W54" s="31"/>
      <c r="X54" s="31"/>
      <c r="Y54" s="31"/>
      <c r="Z54" s="31"/>
    </row>
    <row r="55" ht="13.5" customHeight="1">
      <c r="A55" s="41" t="s">
        <v>46</v>
      </c>
      <c r="B55" s="41" t="str">
        <f t="shared" ref="B55:B56" si="14">IFERROR(INDEX(#REF!,MATCH(INDIRECT(ADDRESS(ROW(),COLUMN()-1,4)),#REF!,0)),IF(INDIRECT(ADDRESS(ROW(),COLUMN()-1,4))="50221101","Grano de cereal",""))</f>
        <v>Grano de cereal</v>
      </c>
      <c r="C55" s="42" t="str">
        <f t="shared" si="2"/>
        <v/>
      </c>
      <c r="D55" s="41">
        <v>1000.0</v>
      </c>
      <c r="E55" s="43">
        <v>3181.75</v>
      </c>
      <c r="F55" s="43">
        <f t="shared" si="3"/>
        <v>3181750</v>
      </c>
      <c r="G55" s="31"/>
      <c r="H55" s="31"/>
      <c r="I55" s="31"/>
      <c r="J55" s="31"/>
      <c r="K55" s="31"/>
      <c r="L55" s="31"/>
      <c r="M55" s="31"/>
      <c r="N55" s="31"/>
      <c r="O55" s="31"/>
      <c r="P55" s="31"/>
      <c r="Q55" s="31"/>
      <c r="R55" s="31"/>
      <c r="S55" s="31"/>
      <c r="T55" s="31"/>
      <c r="U55" s="31"/>
      <c r="V55" s="31"/>
      <c r="W55" s="31"/>
      <c r="X55" s="31"/>
      <c r="Y55" s="31"/>
      <c r="Z55" s="31"/>
    </row>
    <row r="56" ht="13.5" customHeight="1">
      <c r="A56" s="41" t="s">
        <v>46</v>
      </c>
      <c r="B56" s="41" t="str">
        <f t="shared" si="14"/>
        <v>Grano de cereal</v>
      </c>
      <c r="C56" s="42" t="str">
        <f t="shared" si="2"/>
        <v/>
      </c>
      <c r="D56" s="41">
        <v>25000.0</v>
      </c>
      <c r="E56" s="43">
        <v>174.46</v>
      </c>
      <c r="F56" s="43">
        <f t="shared" si="3"/>
        <v>4361500</v>
      </c>
      <c r="G56" s="31"/>
      <c r="H56" s="31"/>
      <c r="I56" s="31"/>
      <c r="J56" s="31"/>
      <c r="K56" s="31"/>
      <c r="L56" s="31"/>
      <c r="M56" s="31"/>
      <c r="N56" s="31"/>
      <c r="O56" s="31"/>
      <c r="P56" s="31"/>
      <c r="Q56" s="31"/>
      <c r="R56" s="31"/>
      <c r="S56" s="31"/>
      <c r="T56" s="31"/>
      <c r="U56" s="31"/>
      <c r="V56" s="31"/>
      <c r="W56" s="31"/>
      <c r="X56" s="31"/>
      <c r="Y56" s="31"/>
      <c r="Z56" s="31"/>
    </row>
    <row r="57" ht="13.5" customHeight="1">
      <c r="A57" s="41" t="s">
        <v>58</v>
      </c>
      <c r="B57" s="41" t="str">
        <f t="array" ref="B57">IFERROR(INDEX(#REF!,MATCH(INDIRECT(ADDRESS(ROW(),COLUMN()-1,4)),#REF!,0)),IF(INDIRECT(ADDRESS(ROW(),COLUMN()-1,4))="50221001","Granos",""))</f>
        <v>Granos</v>
      </c>
      <c r="C57" s="42" t="str">
        <f t="shared" si="2"/>
        <v/>
      </c>
      <c r="D57" s="41">
        <v>25000.0</v>
      </c>
      <c r="E57" s="43">
        <v>87.12</v>
      </c>
      <c r="F57" s="43">
        <f t="shared" si="3"/>
        <v>2178000</v>
      </c>
      <c r="G57" s="31"/>
      <c r="H57" s="31"/>
      <c r="I57" s="31"/>
      <c r="J57" s="31"/>
      <c r="K57" s="31"/>
      <c r="L57" s="31"/>
      <c r="M57" s="31"/>
      <c r="N57" s="31"/>
      <c r="O57" s="31"/>
      <c r="P57" s="31"/>
      <c r="Q57" s="31"/>
      <c r="R57" s="31"/>
      <c r="S57" s="31"/>
      <c r="T57" s="31"/>
      <c r="U57" s="31"/>
      <c r="V57" s="31"/>
      <c r="W57" s="31"/>
      <c r="X57" s="31"/>
      <c r="Y57" s="31"/>
      <c r="Z57" s="31"/>
    </row>
    <row r="58" ht="13.5" customHeight="1">
      <c r="A58" s="41" t="s">
        <v>46</v>
      </c>
      <c r="B58" s="41" t="str">
        <f t="array" ref="B58">IFERROR(INDEX(#REF!,MATCH(INDIRECT(ADDRESS(ROW(),COLUMN()-1,4)),#REF!,0)),IF(INDIRECT(ADDRESS(ROW(),COLUMN()-1,4))="50221101","Grano de cereal",""))</f>
        <v>Grano de cereal</v>
      </c>
      <c r="C58" s="42" t="str">
        <f t="shared" si="2"/>
        <v/>
      </c>
      <c r="D58" s="41">
        <v>25000.0</v>
      </c>
      <c r="E58" s="43">
        <v>97.68</v>
      </c>
      <c r="F58" s="43">
        <f t="shared" si="3"/>
        <v>2442000</v>
      </c>
      <c r="G58" s="31"/>
      <c r="H58" s="31"/>
      <c r="I58" s="31"/>
      <c r="J58" s="31"/>
      <c r="K58" s="31"/>
      <c r="L58" s="31"/>
      <c r="M58" s="31"/>
      <c r="N58" s="31"/>
      <c r="O58" s="31"/>
      <c r="P58" s="31"/>
      <c r="Q58" s="31"/>
      <c r="R58" s="31"/>
      <c r="S58" s="31"/>
      <c r="T58" s="31"/>
      <c r="U58" s="31"/>
      <c r="V58" s="31"/>
      <c r="W58" s="31"/>
      <c r="X58" s="31"/>
      <c r="Y58" s="31"/>
      <c r="Z58" s="31"/>
    </row>
    <row r="59" ht="13.5" customHeight="1">
      <c r="A59" s="41" t="s">
        <v>61</v>
      </c>
      <c r="B59" s="41" t="str">
        <f t="array" ref="B59">IFERROR(INDEX(#REF!,MATCH(INDIRECT(ADDRESS(ROW(),COLUMN()-1,4)),#REF!,0)),IF(INDIRECT(ADDRESS(ROW(),COLUMN()-1,4))="50201706","Café",""))</f>
        <v>Café</v>
      </c>
      <c r="C59" s="42" t="str">
        <f t="shared" si="2"/>
        <v/>
      </c>
      <c r="D59" s="41">
        <v>1000.0</v>
      </c>
      <c r="E59" s="43">
        <v>5078.02</v>
      </c>
      <c r="F59" s="43">
        <f t="shared" si="3"/>
        <v>5078020</v>
      </c>
      <c r="G59" s="31"/>
      <c r="H59" s="31"/>
      <c r="I59" s="31"/>
      <c r="J59" s="31"/>
      <c r="K59" s="31"/>
      <c r="L59" s="31"/>
      <c r="M59" s="31"/>
      <c r="N59" s="31"/>
      <c r="O59" s="31"/>
      <c r="P59" s="31"/>
      <c r="Q59" s="31"/>
      <c r="R59" s="31"/>
      <c r="S59" s="31"/>
      <c r="T59" s="31"/>
      <c r="U59" s="31"/>
      <c r="V59" s="31"/>
      <c r="W59" s="31"/>
      <c r="X59" s="31"/>
      <c r="Y59" s="31"/>
      <c r="Z59" s="31"/>
    </row>
    <row r="60" ht="13.5" customHeight="1">
      <c r="A60" s="41" t="s">
        <v>53</v>
      </c>
      <c r="B60" s="41" t="str">
        <f t="shared" ref="B60:B61" si="15">IFERROR(INDEX(#REF!,MATCH(INDIRECT(ADDRESS(ROW(),COLUMN()-1,4)),#REF!,0)),IF(INDIRECT(ADDRESS(ROW(),COLUMN()-1,4))="50202309","Bebidas deportivas o de energía",""))</f>
        <v>Bebidas deportivas o de energía</v>
      </c>
      <c r="C60" s="42" t="str">
        <f t="shared" si="2"/>
        <v/>
      </c>
      <c r="D60" s="41">
        <v>45000.0</v>
      </c>
      <c r="E60" s="43">
        <v>152.44</v>
      </c>
      <c r="F60" s="43">
        <f t="shared" si="3"/>
        <v>6859800</v>
      </c>
      <c r="G60" s="31"/>
      <c r="H60" s="31"/>
      <c r="I60" s="31"/>
      <c r="J60" s="31"/>
      <c r="K60" s="31"/>
      <c r="L60" s="31"/>
      <c r="M60" s="31"/>
      <c r="N60" s="31"/>
      <c r="O60" s="31"/>
      <c r="P60" s="31"/>
      <c r="Q60" s="31"/>
      <c r="R60" s="31"/>
      <c r="S60" s="31"/>
      <c r="T60" s="31"/>
      <c r="U60" s="31"/>
      <c r="V60" s="31"/>
      <c r="W60" s="31"/>
      <c r="X60" s="31"/>
      <c r="Y60" s="31"/>
      <c r="Z60" s="31"/>
    </row>
    <row r="61" ht="13.5" customHeight="1">
      <c r="A61" s="41" t="s">
        <v>53</v>
      </c>
      <c r="B61" s="41" t="str">
        <f t="shared" si="15"/>
        <v>Bebidas deportivas o de energía</v>
      </c>
      <c r="C61" s="42" t="str">
        <f t="shared" si="2"/>
        <v/>
      </c>
      <c r="D61" s="41">
        <v>25000.0</v>
      </c>
      <c r="E61" s="43">
        <v>160.56</v>
      </c>
      <c r="F61" s="43">
        <f t="shared" si="3"/>
        <v>4014000</v>
      </c>
      <c r="G61" s="31"/>
      <c r="H61" s="31"/>
      <c r="I61" s="31"/>
      <c r="J61" s="31"/>
      <c r="K61" s="31"/>
      <c r="L61" s="31"/>
      <c r="M61" s="31"/>
      <c r="N61" s="31"/>
      <c r="O61" s="31"/>
      <c r="P61" s="31"/>
      <c r="Q61" s="31"/>
      <c r="R61" s="31"/>
      <c r="S61" s="31"/>
      <c r="T61" s="31"/>
      <c r="U61" s="31"/>
      <c r="V61" s="31"/>
      <c r="W61" s="31"/>
      <c r="X61" s="31"/>
      <c r="Y61" s="31"/>
      <c r="Z61" s="31"/>
    </row>
    <row r="62" ht="13.5" customHeight="1">
      <c r="A62" s="41" t="s">
        <v>62</v>
      </c>
      <c r="B62" s="41" t="str">
        <f t="shared" ref="B62:B63" si="16">IFERROR(INDEX(#REF!,MATCH(INDIRECT(ADDRESS(ROW(),COLUMN()-1,4)),#REF!,0)),IF(INDIRECT(ADDRESS(ROW(),COLUMN()-1,4))="50221201","Listo para comer o cereal caliente",""))</f>
        <v>Listo para comer o cereal caliente</v>
      </c>
      <c r="C62" s="42" t="str">
        <f t="shared" si="2"/>
        <v/>
      </c>
      <c r="D62" s="41">
        <v>35000.0</v>
      </c>
      <c r="E62" s="43">
        <v>69.6</v>
      </c>
      <c r="F62" s="43">
        <f t="shared" si="3"/>
        <v>2436000</v>
      </c>
      <c r="G62" s="31"/>
      <c r="H62" s="31"/>
      <c r="I62" s="31"/>
      <c r="J62" s="31"/>
      <c r="K62" s="31"/>
      <c r="L62" s="31"/>
      <c r="M62" s="31"/>
      <c r="N62" s="31"/>
      <c r="O62" s="31"/>
      <c r="P62" s="31"/>
      <c r="Q62" s="31"/>
      <c r="R62" s="31"/>
      <c r="S62" s="31"/>
      <c r="T62" s="31"/>
      <c r="U62" s="31"/>
      <c r="V62" s="31"/>
      <c r="W62" s="31"/>
      <c r="X62" s="31"/>
      <c r="Y62" s="31"/>
      <c r="Z62" s="31"/>
    </row>
    <row r="63" ht="13.5" customHeight="1">
      <c r="A63" s="41" t="s">
        <v>62</v>
      </c>
      <c r="B63" s="41" t="str">
        <f t="shared" si="16"/>
        <v>Listo para comer o cereal caliente</v>
      </c>
      <c r="C63" s="42" t="str">
        <f t="shared" si="2"/>
        <v/>
      </c>
      <c r="D63" s="41">
        <v>5000.0</v>
      </c>
      <c r="E63" s="43">
        <v>765.77</v>
      </c>
      <c r="F63" s="43">
        <f t="shared" si="3"/>
        <v>3828850</v>
      </c>
      <c r="G63" s="31"/>
      <c r="H63" s="31"/>
      <c r="I63" s="31"/>
      <c r="J63" s="31"/>
      <c r="K63" s="31"/>
      <c r="L63" s="31"/>
      <c r="M63" s="31"/>
      <c r="N63" s="31"/>
      <c r="O63" s="31"/>
      <c r="P63" s="31"/>
      <c r="Q63" s="31"/>
      <c r="R63" s="31"/>
      <c r="S63" s="31"/>
      <c r="T63" s="31"/>
      <c r="U63" s="31"/>
      <c r="V63" s="31"/>
      <c r="W63" s="31"/>
      <c r="X63" s="31"/>
      <c r="Y63" s="31"/>
      <c r="Z63" s="31"/>
    </row>
    <row r="64" ht="13.5" customHeight="1">
      <c r="A64" s="31"/>
      <c r="B64" s="31"/>
      <c r="C64" s="31"/>
      <c r="D64" s="31"/>
      <c r="E64" s="44" t="s">
        <v>63</v>
      </c>
      <c r="F64" s="45">
        <f>SUM(PACC!$F$23:$F$63)</f>
        <v>95941142.24</v>
      </c>
      <c r="G64" s="31"/>
      <c r="H64" s="31" t="str">
        <f>C16</f>
        <v>Bienes</v>
      </c>
      <c r="I64" s="31" t="str">
        <f>E16</f>
        <v>Sí</v>
      </c>
      <c r="J64" s="31" t="str">
        <f>D16</f>
        <v>Licitacion Publica Internacional</v>
      </c>
      <c r="K64" s="31"/>
      <c r="L64" s="31"/>
      <c r="M64" s="31"/>
      <c r="N64" s="31"/>
      <c r="O64" s="31"/>
      <c r="P64" s="31"/>
      <c r="Q64" s="31"/>
      <c r="R64" s="31"/>
      <c r="S64" s="31"/>
      <c r="T64" s="31"/>
      <c r="U64" s="31"/>
      <c r="V64" s="31"/>
      <c r="W64" s="31"/>
      <c r="X64" s="31"/>
      <c r="Y64" s="31"/>
      <c r="Z64" s="31"/>
    </row>
    <row r="65" ht="13.5" customHeight="1">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row>
    <row r="66" ht="33.75" customHeight="1">
      <c r="A66" s="32" t="s">
        <v>19</v>
      </c>
      <c r="B66" s="32" t="s">
        <v>20</v>
      </c>
      <c r="C66" s="32" t="s">
        <v>21</v>
      </c>
      <c r="D66" s="32" t="s">
        <v>22</v>
      </c>
      <c r="E66" s="32" t="s">
        <v>23</v>
      </c>
      <c r="F66" s="32" t="s">
        <v>24</v>
      </c>
      <c r="G66" s="31"/>
      <c r="H66" s="31"/>
      <c r="I66" s="31"/>
      <c r="J66" s="31"/>
      <c r="K66" s="31"/>
      <c r="L66" s="31"/>
      <c r="M66" s="31"/>
      <c r="N66" s="31"/>
      <c r="O66" s="31"/>
      <c r="P66" s="31"/>
      <c r="Q66" s="31"/>
      <c r="R66" s="31"/>
      <c r="S66" s="31"/>
      <c r="T66" s="31"/>
      <c r="U66" s="31"/>
      <c r="V66" s="31"/>
      <c r="W66" s="31"/>
      <c r="X66" s="31"/>
      <c r="Y66" s="31"/>
      <c r="Z66" s="31"/>
    </row>
    <row r="67" ht="13.5" customHeight="1">
      <c r="A67" s="33" t="s">
        <v>64</v>
      </c>
      <c r="B67" s="33" t="s">
        <v>65</v>
      </c>
      <c r="C67" s="33" t="s">
        <v>27</v>
      </c>
      <c r="D67" s="33" t="s">
        <v>66</v>
      </c>
      <c r="E67" s="33" t="s">
        <v>67</v>
      </c>
      <c r="F67" s="33"/>
      <c r="G67" s="31"/>
      <c r="H67" s="31"/>
      <c r="I67" s="31"/>
      <c r="J67" s="31"/>
      <c r="K67" s="31"/>
      <c r="L67" s="31"/>
      <c r="M67" s="31"/>
      <c r="N67" s="31"/>
      <c r="O67" s="31"/>
      <c r="P67" s="31"/>
      <c r="Q67" s="31"/>
      <c r="R67" s="31"/>
      <c r="S67" s="31"/>
      <c r="T67" s="31"/>
      <c r="U67" s="31"/>
      <c r="V67" s="31"/>
      <c r="W67" s="31"/>
      <c r="X67" s="31"/>
      <c r="Y67" s="31"/>
      <c r="Z67" s="31"/>
    </row>
    <row r="68" ht="13.5" customHeight="1">
      <c r="A68" s="34" t="s">
        <v>30</v>
      </c>
      <c r="B68" s="35" t="s">
        <v>31</v>
      </c>
      <c r="C68" s="36">
        <v>44972.0</v>
      </c>
      <c r="D68" s="34" t="s">
        <v>32</v>
      </c>
      <c r="E68" s="35" t="s">
        <v>33</v>
      </c>
      <c r="F68" s="37"/>
      <c r="G68" s="31"/>
      <c r="H68" s="31"/>
      <c r="I68" s="31"/>
      <c r="J68" s="31"/>
      <c r="K68" s="31"/>
      <c r="L68" s="31"/>
      <c r="M68" s="31"/>
      <c r="N68" s="31"/>
      <c r="O68" s="31"/>
      <c r="P68" s="31"/>
      <c r="Q68" s="31"/>
      <c r="R68" s="31"/>
      <c r="S68" s="31"/>
      <c r="T68" s="31"/>
      <c r="U68" s="31"/>
      <c r="V68" s="31"/>
      <c r="W68" s="31"/>
      <c r="X68" s="31"/>
      <c r="Y68" s="31"/>
      <c r="Z68" s="31"/>
    </row>
    <row r="69" ht="13.5" customHeight="1">
      <c r="A69" s="38"/>
      <c r="B69" s="35" t="s">
        <v>34</v>
      </c>
      <c r="C69" s="33">
        <f>IF(C68="","",IF(AND(MONTH(C68)&gt;=1,MONTH(C68)&lt;=3),1,IF(AND(MONTH(C68)&gt;=4,MONTH(C68)&lt;=6),2,IF(AND(MONTH(C68)&gt;=7,MONTH(C68)&lt;=9),3,4))))</f>
        <v>1</v>
      </c>
      <c r="D69" s="38"/>
      <c r="E69" s="35" t="s">
        <v>35</v>
      </c>
      <c r="F69" s="37"/>
      <c r="G69" s="31"/>
      <c r="H69" s="31"/>
      <c r="I69" s="31"/>
      <c r="J69" s="31"/>
      <c r="K69" s="31"/>
      <c r="L69" s="31"/>
      <c r="M69" s="31"/>
      <c r="N69" s="31"/>
      <c r="O69" s="31"/>
      <c r="P69" s="31"/>
      <c r="Q69" s="31"/>
      <c r="R69" s="31"/>
      <c r="S69" s="31"/>
      <c r="T69" s="31"/>
      <c r="U69" s="31"/>
      <c r="V69" s="31"/>
      <c r="W69" s="31"/>
      <c r="X69" s="31"/>
      <c r="Y69" s="31"/>
      <c r="Z69" s="31"/>
    </row>
    <row r="70" ht="13.5" customHeight="1">
      <c r="A70" s="38"/>
      <c r="B70" s="35" t="s">
        <v>36</v>
      </c>
      <c r="C70" s="36">
        <v>45092.0</v>
      </c>
      <c r="D70" s="38"/>
      <c r="E70" s="35" t="s">
        <v>37</v>
      </c>
      <c r="F70" s="37"/>
      <c r="G70" s="31"/>
      <c r="H70" s="31"/>
      <c r="I70" s="31"/>
      <c r="J70" s="31"/>
      <c r="K70" s="31"/>
      <c r="L70" s="31"/>
      <c r="M70" s="31"/>
      <c r="N70" s="31"/>
      <c r="O70" s="31"/>
      <c r="P70" s="31"/>
      <c r="Q70" s="31"/>
      <c r="R70" s="31"/>
      <c r="S70" s="31"/>
      <c r="T70" s="31"/>
      <c r="U70" s="31"/>
      <c r="V70" s="31"/>
      <c r="W70" s="31"/>
      <c r="X70" s="31"/>
      <c r="Y70" s="31"/>
      <c r="Z70" s="31"/>
    </row>
    <row r="71" ht="13.5" customHeight="1">
      <c r="A71" s="39"/>
      <c r="B71" s="35" t="s">
        <v>34</v>
      </c>
      <c r="C71" s="33">
        <f>IF(C70="","",IF(AND(MONTH(C70)&gt;=1,MONTH(C70)&lt;=3),1,IF(AND(MONTH(C70)&gt;=4,MONTH(C70)&lt;=6),2,IF(AND(MONTH(C70)&gt;=7,MONTH(C70)&lt;=9),3,4))))</f>
        <v>2</v>
      </c>
      <c r="D71" s="39"/>
      <c r="E71" s="35" t="s">
        <v>38</v>
      </c>
      <c r="F71" s="37"/>
      <c r="G71" s="31"/>
      <c r="H71" s="31"/>
      <c r="I71" s="31"/>
      <c r="J71" s="31"/>
      <c r="K71" s="31"/>
      <c r="L71" s="31"/>
      <c r="M71" s="31"/>
      <c r="N71" s="31"/>
      <c r="O71" s="31"/>
      <c r="P71" s="31"/>
      <c r="Q71" s="31"/>
      <c r="R71" s="31"/>
      <c r="S71" s="31"/>
      <c r="T71" s="31"/>
      <c r="U71" s="31"/>
      <c r="V71" s="31"/>
      <c r="W71" s="31"/>
      <c r="X71" s="31"/>
      <c r="Y71" s="31"/>
      <c r="Z71" s="31"/>
    </row>
    <row r="72" ht="13.5" customHeight="1">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row>
    <row r="73" ht="13.5" customHeight="1">
      <c r="A73" s="40" t="s">
        <v>39</v>
      </c>
      <c r="B73" s="40" t="s">
        <v>40</v>
      </c>
      <c r="C73" s="40" t="s">
        <v>41</v>
      </c>
      <c r="D73" s="40" t="s">
        <v>42</v>
      </c>
      <c r="E73" s="40" t="s">
        <v>43</v>
      </c>
      <c r="F73" s="40" t="s">
        <v>44</v>
      </c>
      <c r="G73" s="31"/>
      <c r="H73" s="31"/>
      <c r="I73" s="31"/>
      <c r="J73" s="31"/>
      <c r="K73" s="31"/>
      <c r="L73" s="31"/>
      <c r="M73" s="31"/>
      <c r="N73" s="31"/>
      <c r="O73" s="31"/>
      <c r="P73" s="31"/>
      <c r="Q73" s="31"/>
      <c r="R73" s="31"/>
      <c r="S73" s="31"/>
      <c r="T73" s="31"/>
      <c r="U73" s="31"/>
      <c r="V73" s="31"/>
      <c r="W73" s="31"/>
      <c r="X73" s="31"/>
      <c r="Y73" s="31"/>
      <c r="Z73" s="31"/>
    </row>
    <row r="74" ht="13.5" customHeight="1">
      <c r="A74" s="41" t="s">
        <v>68</v>
      </c>
      <c r="B74" s="41" t="str">
        <f t="array" ref="B74">IFERROR(INDEX(#REF!,MATCH(INDIRECT(ADDRESS(ROW(),COLUMN()-1,4)),#REF!,0)),IF(INDIRECT(ADDRESS(ROW(),COLUMN()-1,4))="25101502","Autobuses",""))</f>
        <v>Autobuses</v>
      </c>
      <c r="C74" s="42" t="str">
        <f t="shared" ref="C74:C75" si="17">IFERROR(VLOOKUP("UD",'Informacion '!P:Q,2,FALSE),"")</f>
        <v/>
      </c>
      <c r="D74" s="41">
        <v>3.0</v>
      </c>
      <c r="E74" s="43">
        <v>4975000.0</v>
      </c>
      <c r="F74" s="43">
        <f t="shared" ref="F74:F75" si="18">INDIRECT(ADDRESS(ROW(),COLUMN()-2,4))*INDIRECT(ADDRESS(ROW(),COLUMN()-1,4))</f>
        <v>14925000</v>
      </c>
      <c r="G74" s="31"/>
      <c r="H74" s="31"/>
      <c r="I74" s="31"/>
      <c r="J74" s="31"/>
      <c r="K74" s="31"/>
      <c r="L74" s="31"/>
      <c r="M74" s="31"/>
      <c r="N74" s="31"/>
      <c r="O74" s="31"/>
      <c r="P74" s="31"/>
      <c r="Q74" s="31"/>
      <c r="R74" s="31"/>
      <c r="S74" s="31"/>
      <c r="T74" s="31"/>
      <c r="U74" s="31"/>
      <c r="V74" s="31"/>
      <c r="W74" s="31"/>
      <c r="X74" s="31"/>
      <c r="Y74" s="31"/>
      <c r="Z74" s="31"/>
    </row>
    <row r="75" ht="13.5" customHeight="1">
      <c r="A75" s="41" t="s">
        <v>69</v>
      </c>
      <c r="B75" s="41" t="str">
        <f t="array" ref="B75">IFERROR(INDEX(#REF!,MATCH(INDIRECT(ADDRESS(ROW(),COLUMN()-1,4)),#REF!,0)),IF(INDIRECT(ADDRESS(ROW(),COLUMN()-1,4))="25101905","Vehículos todoterreno de ruedas o de tracción",""))</f>
        <v>Vehículos todoterreno de ruedas o de tracción</v>
      </c>
      <c r="C75" s="42" t="str">
        <f t="shared" si="17"/>
        <v/>
      </c>
      <c r="D75" s="41">
        <v>5.0</v>
      </c>
      <c r="E75" s="43">
        <v>3615000.0</v>
      </c>
      <c r="F75" s="43">
        <f t="shared" si="18"/>
        <v>18075000</v>
      </c>
      <c r="G75" s="31"/>
      <c r="H75" s="31"/>
      <c r="I75" s="31"/>
      <c r="J75" s="31"/>
      <c r="K75" s="31"/>
      <c r="L75" s="31"/>
      <c r="M75" s="31"/>
      <c r="N75" s="31"/>
      <c r="O75" s="31"/>
      <c r="P75" s="31"/>
      <c r="Q75" s="31"/>
      <c r="R75" s="31"/>
      <c r="S75" s="31"/>
      <c r="T75" s="31"/>
      <c r="U75" s="31"/>
      <c r="V75" s="31"/>
      <c r="W75" s="31"/>
      <c r="X75" s="31"/>
      <c r="Y75" s="31"/>
      <c r="Z75" s="31"/>
    </row>
    <row r="76" ht="13.5" customHeight="1">
      <c r="A76" s="31"/>
      <c r="B76" s="31"/>
      <c r="C76" s="31"/>
      <c r="D76" s="31"/>
      <c r="E76" s="44" t="s">
        <v>63</v>
      </c>
      <c r="F76" s="45">
        <f>SUM(PACC!$F$74:$F$75)</f>
        <v>33000000</v>
      </c>
      <c r="G76" s="31"/>
      <c r="H76" s="31" t="str">
        <f>C67</f>
        <v>Bienes</v>
      </c>
      <c r="I76" s="31" t="str">
        <f>E67</f>
        <v>No</v>
      </c>
      <c r="J76" s="31" t="str">
        <f>D67</f>
        <v>Licitacion Publica</v>
      </c>
      <c r="K76" s="31"/>
      <c r="L76" s="31"/>
      <c r="M76" s="31"/>
      <c r="N76" s="31"/>
      <c r="O76" s="31"/>
      <c r="P76" s="31"/>
      <c r="Q76" s="31"/>
      <c r="R76" s="31"/>
      <c r="S76" s="31"/>
      <c r="T76" s="31"/>
      <c r="U76" s="31"/>
      <c r="V76" s="31"/>
      <c r="W76" s="31"/>
      <c r="X76" s="31"/>
      <c r="Y76" s="31"/>
      <c r="Z76" s="31"/>
    </row>
    <row r="77" ht="13.5" customHeight="1">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row>
    <row r="78" ht="33.75" customHeight="1">
      <c r="A78" s="32" t="s">
        <v>19</v>
      </c>
      <c r="B78" s="32" t="s">
        <v>20</v>
      </c>
      <c r="C78" s="32" t="s">
        <v>21</v>
      </c>
      <c r="D78" s="32" t="s">
        <v>22</v>
      </c>
      <c r="E78" s="32" t="s">
        <v>23</v>
      </c>
      <c r="F78" s="32" t="s">
        <v>24</v>
      </c>
      <c r="G78" s="31"/>
      <c r="H78" s="31"/>
      <c r="I78" s="31"/>
      <c r="J78" s="31"/>
      <c r="K78" s="31"/>
      <c r="L78" s="31"/>
      <c r="M78" s="31"/>
      <c r="N78" s="31"/>
      <c r="O78" s="31"/>
      <c r="P78" s="31"/>
      <c r="Q78" s="31"/>
      <c r="R78" s="31"/>
      <c r="S78" s="31"/>
      <c r="T78" s="31"/>
      <c r="U78" s="31"/>
      <c r="V78" s="31"/>
      <c r="W78" s="31"/>
      <c r="X78" s="31"/>
      <c r="Y78" s="31"/>
      <c r="Z78" s="31"/>
    </row>
    <row r="79" ht="13.5" customHeight="1">
      <c r="A79" s="33" t="s">
        <v>70</v>
      </c>
      <c r="B79" s="33" t="s">
        <v>71</v>
      </c>
      <c r="C79" s="33" t="s">
        <v>27</v>
      </c>
      <c r="D79" s="33" t="s">
        <v>66</v>
      </c>
      <c r="E79" s="33" t="s">
        <v>67</v>
      </c>
      <c r="F79" s="33"/>
      <c r="G79" s="31"/>
      <c r="H79" s="31"/>
      <c r="I79" s="31"/>
      <c r="J79" s="31"/>
      <c r="K79" s="31"/>
      <c r="L79" s="31"/>
      <c r="M79" s="31"/>
      <c r="N79" s="31"/>
      <c r="O79" s="31"/>
      <c r="P79" s="31"/>
      <c r="Q79" s="31"/>
      <c r="R79" s="31"/>
      <c r="S79" s="31"/>
      <c r="T79" s="31"/>
      <c r="U79" s="31"/>
      <c r="V79" s="31"/>
      <c r="W79" s="31"/>
      <c r="X79" s="31"/>
      <c r="Y79" s="31"/>
      <c r="Z79" s="31"/>
    </row>
    <row r="80" ht="13.5" customHeight="1">
      <c r="A80" s="34" t="s">
        <v>30</v>
      </c>
      <c r="B80" s="35" t="s">
        <v>31</v>
      </c>
      <c r="C80" s="36">
        <v>44972.0</v>
      </c>
      <c r="D80" s="34" t="s">
        <v>32</v>
      </c>
      <c r="E80" s="35" t="s">
        <v>33</v>
      </c>
      <c r="F80" s="37"/>
      <c r="G80" s="31"/>
      <c r="H80" s="31"/>
      <c r="I80" s="31"/>
      <c r="J80" s="31"/>
      <c r="K80" s="31"/>
      <c r="L80" s="31"/>
      <c r="M80" s="31"/>
      <c r="N80" s="31"/>
      <c r="O80" s="31"/>
      <c r="P80" s="31"/>
      <c r="Q80" s="31"/>
      <c r="R80" s="31"/>
      <c r="S80" s="31"/>
      <c r="T80" s="31"/>
      <c r="U80" s="31"/>
      <c r="V80" s="31"/>
      <c r="W80" s="31"/>
      <c r="X80" s="31"/>
      <c r="Y80" s="31"/>
      <c r="Z80" s="31"/>
    </row>
    <row r="81" ht="13.5" customHeight="1">
      <c r="A81" s="38"/>
      <c r="B81" s="35" t="s">
        <v>34</v>
      </c>
      <c r="C81" s="33">
        <f>IF(C80="","",IF(AND(MONTH(C80)&gt;=1,MONTH(C80)&lt;=3),1,IF(AND(MONTH(C80)&gt;=4,MONTH(C80)&lt;=6),2,IF(AND(MONTH(C80)&gt;=7,MONTH(C80)&lt;=9),3,4))))</f>
        <v>1</v>
      </c>
      <c r="D81" s="38"/>
      <c r="E81" s="35" t="s">
        <v>35</v>
      </c>
      <c r="F81" s="37"/>
      <c r="G81" s="31"/>
      <c r="H81" s="31"/>
      <c r="I81" s="31"/>
      <c r="J81" s="31"/>
      <c r="K81" s="31"/>
      <c r="L81" s="31"/>
      <c r="M81" s="31"/>
      <c r="N81" s="31"/>
      <c r="O81" s="31"/>
      <c r="P81" s="31"/>
      <c r="Q81" s="31"/>
      <c r="R81" s="31"/>
      <c r="S81" s="31"/>
      <c r="T81" s="31"/>
      <c r="U81" s="31"/>
      <c r="V81" s="31"/>
      <c r="W81" s="31"/>
      <c r="X81" s="31"/>
      <c r="Y81" s="31"/>
      <c r="Z81" s="31"/>
    </row>
    <row r="82" ht="13.5" customHeight="1">
      <c r="A82" s="38"/>
      <c r="B82" s="35" t="s">
        <v>36</v>
      </c>
      <c r="C82" s="36">
        <v>45097.0</v>
      </c>
      <c r="D82" s="38"/>
      <c r="E82" s="35" t="s">
        <v>37</v>
      </c>
      <c r="F82" s="37"/>
      <c r="G82" s="31"/>
      <c r="H82" s="31"/>
      <c r="I82" s="31"/>
      <c r="J82" s="31"/>
      <c r="K82" s="31"/>
      <c r="L82" s="31"/>
      <c r="M82" s="31"/>
      <c r="N82" s="31"/>
      <c r="O82" s="31"/>
      <c r="P82" s="31"/>
      <c r="Q82" s="31"/>
      <c r="R82" s="31"/>
      <c r="S82" s="31"/>
      <c r="T82" s="31"/>
      <c r="U82" s="31"/>
      <c r="V82" s="31"/>
      <c r="W82" s="31"/>
      <c r="X82" s="31"/>
      <c r="Y82" s="31"/>
      <c r="Z82" s="31"/>
    </row>
    <row r="83" ht="13.5" customHeight="1">
      <c r="A83" s="39"/>
      <c r="B83" s="35" t="s">
        <v>34</v>
      </c>
      <c r="C83" s="33">
        <f>IF(C82="","",IF(AND(MONTH(C82)&gt;=1,MONTH(C82)&lt;=3),1,IF(AND(MONTH(C82)&gt;=4,MONTH(C82)&lt;=6),2,IF(AND(MONTH(C82)&gt;=7,MONTH(C82)&lt;=9),3,4))))</f>
        <v>2</v>
      </c>
      <c r="D83" s="39"/>
      <c r="E83" s="35" t="s">
        <v>38</v>
      </c>
      <c r="F83" s="37"/>
      <c r="G83" s="31"/>
      <c r="H83" s="31"/>
      <c r="I83" s="31"/>
      <c r="J83" s="31"/>
      <c r="K83" s="31"/>
      <c r="L83" s="31"/>
      <c r="M83" s="31"/>
      <c r="N83" s="31"/>
      <c r="O83" s="31"/>
      <c r="P83" s="31"/>
      <c r="Q83" s="31"/>
      <c r="R83" s="31"/>
      <c r="S83" s="31"/>
      <c r="T83" s="31"/>
      <c r="U83" s="31"/>
      <c r="V83" s="31"/>
      <c r="W83" s="31"/>
      <c r="X83" s="31"/>
      <c r="Y83" s="31"/>
      <c r="Z83" s="31"/>
    </row>
    <row r="84" ht="13.5" customHeight="1">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row>
    <row r="85" ht="13.5" customHeight="1">
      <c r="A85" s="40" t="s">
        <v>39</v>
      </c>
      <c r="B85" s="40" t="s">
        <v>40</v>
      </c>
      <c r="C85" s="40" t="s">
        <v>41</v>
      </c>
      <c r="D85" s="40" t="s">
        <v>42</v>
      </c>
      <c r="E85" s="40" t="s">
        <v>43</v>
      </c>
      <c r="F85" s="40" t="s">
        <v>44</v>
      </c>
      <c r="G85" s="31"/>
      <c r="H85" s="31"/>
      <c r="I85" s="31"/>
      <c r="J85" s="31"/>
      <c r="K85" s="31"/>
      <c r="L85" s="31"/>
      <c r="M85" s="31"/>
      <c r="N85" s="31"/>
      <c r="O85" s="31"/>
      <c r="P85" s="31"/>
      <c r="Q85" s="31"/>
      <c r="R85" s="31"/>
      <c r="S85" s="31"/>
      <c r="T85" s="31"/>
      <c r="U85" s="31"/>
      <c r="V85" s="31"/>
      <c r="W85" s="31"/>
      <c r="X85" s="31"/>
      <c r="Y85" s="31"/>
      <c r="Z85" s="31"/>
    </row>
    <row r="86" ht="13.5" customHeight="1">
      <c r="A86" s="41" t="s">
        <v>72</v>
      </c>
      <c r="B86" s="41" t="str">
        <f t="array" ref="B86">IFERROR(INDEX(#REF!,MATCH(INDIRECT(ADDRESS(ROW(),COLUMN()-1,4)),#REF!,0)),IF(INDIRECT(ADDRESS(ROW(),COLUMN()-1,4))="85121902","Servicios farmacéuticos comerciales",""))</f>
        <v>Servicios farmacéuticos comerciales</v>
      </c>
      <c r="C86" s="42" t="str">
        <f t="shared" ref="C86:C114" si="19">IFERROR(VLOOKUP("UD",'Informacion '!P:Q,2,FALSE),"")</f>
        <v/>
      </c>
      <c r="D86" s="41">
        <v>1.0</v>
      </c>
      <c r="E86" s="43">
        <v>1.50000074E7</v>
      </c>
      <c r="F86" s="43">
        <f t="shared" ref="F86:F114" si="20">INDIRECT(ADDRESS(ROW(),COLUMN()-2,4))*INDIRECT(ADDRESS(ROW(),COLUMN()-1,4))</f>
        <v>15000007.4</v>
      </c>
      <c r="G86" s="31"/>
      <c r="H86" s="31"/>
      <c r="I86" s="31"/>
      <c r="J86" s="31"/>
      <c r="K86" s="31"/>
      <c r="L86" s="31"/>
      <c r="M86" s="31"/>
      <c r="N86" s="31"/>
      <c r="O86" s="31"/>
      <c r="P86" s="31"/>
      <c r="Q86" s="31"/>
      <c r="R86" s="31"/>
      <c r="S86" s="31"/>
      <c r="T86" s="31"/>
      <c r="U86" s="31"/>
      <c r="V86" s="31"/>
      <c r="W86" s="31"/>
      <c r="X86" s="31"/>
      <c r="Y86" s="31"/>
      <c r="Z86" s="31"/>
    </row>
    <row r="87" ht="13.5" customHeight="1">
      <c r="A87" s="41" t="s">
        <v>73</v>
      </c>
      <c r="B87" s="41" t="str">
        <f t="shared" ref="B87:B88" si="21">IFERROR(INDEX(#REF!,MATCH(INDIRECT(ADDRESS(ROW(),COLUMN()-1,4)),#REF!,0)),IF(INDIRECT(ADDRESS(ROW(),COLUMN()-1,4))="51121904","Nifedipina",""))</f>
        <v>Nifedipina</v>
      </c>
      <c r="C87" s="42" t="str">
        <f t="shared" si="19"/>
        <v/>
      </c>
      <c r="D87" s="41">
        <v>55000.0</v>
      </c>
      <c r="E87" s="43">
        <v>6.0</v>
      </c>
      <c r="F87" s="43">
        <f t="shared" si="20"/>
        <v>330000</v>
      </c>
      <c r="G87" s="31"/>
      <c r="H87" s="31"/>
      <c r="I87" s="31"/>
      <c r="J87" s="31"/>
      <c r="K87" s="31"/>
      <c r="L87" s="31"/>
      <c r="M87" s="31"/>
      <c r="N87" s="31"/>
      <c r="O87" s="31"/>
      <c r="P87" s="31"/>
      <c r="Q87" s="31"/>
      <c r="R87" s="31"/>
      <c r="S87" s="31"/>
      <c r="T87" s="31"/>
      <c r="U87" s="31"/>
      <c r="V87" s="31"/>
      <c r="W87" s="31"/>
      <c r="X87" s="31"/>
      <c r="Y87" s="31"/>
      <c r="Z87" s="31"/>
    </row>
    <row r="88" ht="13.5" customHeight="1">
      <c r="A88" s="41" t="s">
        <v>73</v>
      </c>
      <c r="B88" s="41" t="str">
        <f t="shared" si="21"/>
        <v>Nifedipina</v>
      </c>
      <c r="C88" s="42" t="str">
        <f t="shared" si="19"/>
        <v/>
      </c>
      <c r="D88" s="41">
        <v>15000.0</v>
      </c>
      <c r="E88" s="43">
        <v>20.0</v>
      </c>
      <c r="F88" s="43">
        <f t="shared" si="20"/>
        <v>300000</v>
      </c>
      <c r="G88" s="31"/>
      <c r="H88" s="31"/>
      <c r="I88" s="31"/>
      <c r="J88" s="31"/>
      <c r="K88" s="31"/>
      <c r="L88" s="31"/>
      <c r="M88" s="31"/>
      <c r="N88" s="31"/>
      <c r="O88" s="31"/>
      <c r="P88" s="31"/>
      <c r="Q88" s="31"/>
      <c r="R88" s="31"/>
      <c r="S88" s="31"/>
      <c r="T88" s="31"/>
      <c r="U88" s="31"/>
      <c r="V88" s="31"/>
      <c r="W88" s="31"/>
      <c r="X88" s="31"/>
      <c r="Y88" s="31"/>
      <c r="Z88" s="31"/>
    </row>
    <row r="89" ht="13.5" customHeight="1">
      <c r="A89" s="41" t="s">
        <v>74</v>
      </c>
      <c r="B89" s="41" t="str">
        <f t="array" ref="B89">IFERROR(INDEX(#REF!,MATCH(INDIRECT(ADDRESS(ROW(),COLUMN()-1,4)),#REF!,0)),IF(INDIRECT(ADDRESS(ROW(),COLUMN()-1,4))="51191510","Furosemida",""))</f>
        <v>Furosemida</v>
      </c>
      <c r="C89" s="42" t="str">
        <f t="shared" si="19"/>
        <v/>
      </c>
      <c r="D89" s="41">
        <v>50000.0</v>
      </c>
      <c r="E89" s="43">
        <v>6.5</v>
      </c>
      <c r="F89" s="43">
        <f t="shared" si="20"/>
        <v>325000</v>
      </c>
      <c r="G89" s="31"/>
      <c r="H89" s="31"/>
      <c r="I89" s="31"/>
      <c r="J89" s="31"/>
      <c r="K89" s="31"/>
      <c r="L89" s="31"/>
      <c r="M89" s="31"/>
      <c r="N89" s="31"/>
      <c r="O89" s="31"/>
      <c r="P89" s="31"/>
      <c r="Q89" s="31"/>
      <c r="R89" s="31"/>
      <c r="S89" s="31"/>
      <c r="T89" s="31"/>
      <c r="U89" s="31"/>
      <c r="V89" s="31"/>
      <c r="W89" s="31"/>
      <c r="X89" s="31"/>
      <c r="Y89" s="31"/>
      <c r="Z89" s="31"/>
    </row>
    <row r="90" ht="13.5" customHeight="1">
      <c r="A90" s="41" t="s">
        <v>75</v>
      </c>
      <c r="B90" s="41" t="str">
        <f t="array" ref="B90">IFERROR(INDEX(#REF!,MATCH(INDIRECT(ADDRESS(ROW(),COLUMN()-1,4)),#REF!,0)),IF(INDIRECT(ADDRESS(ROW(),COLUMN()-1,4))="51181504","Glimepirida",""))</f>
        <v>Glimepirida</v>
      </c>
      <c r="C90" s="42" t="str">
        <f t="shared" si="19"/>
        <v/>
      </c>
      <c r="D90" s="41">
        <v>19310.0</v>
      </c>
      <c r="E90" s="43">
        <v>5.26</v>
      </c>
      <c r="F90" s="43">
        <f t="shared" si="20"/>
        <v>101570.6</v>
      </c>
      <c r="G90" s="31"/>
      <c r="H90" s="31"/>
      <c r="I90" s="31"/>
      <c r="J90" s="31"/>
      <c r="K90" s="31"/>
      <c r="L90" s="31"/>
      <c r="M90" s="31"/>
      <c r="N90" s="31"/>
      <c r="O90" s="31"/>
      <c r="P90" s="31"/>
      <c r="Q90" s="31"/>
      <c r="R90" s="31"/>
      <c r="S90" s="31"/>
      <c r="T90" s="31"/>
      <c r="U90" s="31"/>
      <c r="V90" s="31"/>
      <c r="W90" s="31"/>
      <c r="X90" s="31"/>
      <c r="Y90" s="31"/>
      <c r="Z90" s="31"/>
    </row>
    <row r="91" ht="13.5" customHeight="1">
      <c r="A91" s="41" t="s">
        <v>76</v>
      </c>
      <c r="B91" s="41" t="str">
        <f t="array" ref="B91">IFERROR(INDEX(#REF!,MATCH(INDIRECT(ADDRESS(ROW(),COLUMN()-1,4)),#REF!,0)),IF(INDIRECT(ADDRESS(ROW(),COLUMN()-1,4))="51121710","Losartán potásico",""))</f>
        <v>Losartán potásico</v>
      </c>
      <c r="C91" s="42" t="str">
        <f t="shared" si="19"/>
        <v/>
      </c>
      <c r="D91" s="41">
        <v>50000.0</v>
      </c>
      <c r="E91" s="43">
        <v>15.5</v>
      </c>
      <c r="F91" s="43">
        <f t="shared" si="20"/>
        <v>775000</v>
      </c>
      <c r="G91" s="31"/>
      <c r="H91" s="31"/>
      <c r="I91" s="31"/>
      <c r="J91" s="31"/>
      <c r="K91" s="31"/>
      <c r="L91" s="31"/>
      <c r="M91" s="31"/>
      <c r="N91" s="31"/>
      <c r="O91" s="31"/>
      <c r="P91" s="31"/>
      <c r="Q91" s="31"/>
      <c r="R91" s="31"/>
      <c r="S91" s="31"/>
      <c r="T91" s="31"/>
      <c r="U91" s="31"/>
      <c r="V91" s="31"/>
      <c r="W91" s="31"/>
      <c r="X91" s="31"/>
      <c r="Y91" s="31"/>
      <c r="Z91" s="31"/>
    </row>
    <row r="92" ht="13.5" customHeight="1">
      <c r="A92" s="41" t="s">
        <v>77</v>
      </c>
      <c r="B92" s="41" t="str">
        <f t="array" ref="B92">IFERROR(INDEX(#REF!,MATCH(INDIRECT(ADDRESS(ROW(),COLUMN()-1,4)),#REF!,0)),IF(INDIRECT(ADDRESS(ROW(),COLUMN()-1,4))="51191515","Hidroclorotiazida",""))</f>
        <v>Hidroclorotiazida</v>
      </c>
      <c r="C92" s="42" t="str">
        <f t="shared" si="19"/>
        <v/>
      </c>
      <c r="D92" s="41">
        <v>20000.0</v>
      </c>
      <c r="E92" s="43">
        <v>5.5</v>
      </c>
      <c r="F92" s="43">
        <f t="shared" si="20"/>
        <v>110000</v>
      </c>
      <c r="G92" s="31"/>
      <c r="H92" s="31"/>
      <c r="I92" s="31"/>
      <c r="J92" s="31"/>
      <c r="K92" s="31"/>
      <c r="L92" s="31"/>
      <c r="M92" s="31"/>
      <c r="N92" s="31"/>
      <c r="O92" s="31"/>
      <c r="P92" s="31"/>
      <c r="Q92" s="31"/>
      <c r="R92" s="31"/>
      <c r="S92" s="31"/>
      <c r="T92" s="31"/>
      <c r="U92" s="31"/>
      <c r="V92" s="31"/>
      <c r="W92" s="31"/>
      <c r="X92" s="31"/>
      <c r="Y92" s="31"/>
      <c r="Z92" s="31"/>
    </row>
    <row r="93" ht="13.5" customHeight="1">
      <c r="A93" s="41" t="s">
        <v>78</v>
      </c>
      <c r="B93" s="41" t="str">
        <f t="array" ref="B93">IFERROR(INDEX(#REF!,MATCH(INDIRECT(ADDRESS(ROW(),COLUMN()-1,4)),#REF!,0)),IF(INDIRECT(ADDRESS(ROW(),COLUMN()-1,4))="51121715","Enalapril",""))</f>
        <v>Enalapril</v>
      </c>
      <c r="C93" s="42" t="str">
        <f t="shared" si="19"/>
        <v/>
      </c>
      <c r="D93" s="41">
        <v>100000.0</v>
      </c>
      <c r="E93" s="43">
        <v>8.5</v>
      </c>
      <c r="F93" s="43">
        <f t="shared" si="20"/>
        <v>850000</v>
      </c>
      <c r="G93" s="31"/>
      <c r="H93" s="31"/>
      <c r="I93" s="31"/>
      <c r="J93" s="31"/>
      <c r="K93" s="31"/>
      <c r="L93" s="31"/>
      <c r="M93" s="31"/>
      <c r="N93" s="31"/>
      <c r="O93" s="31"/>
      <c r="P93" s="31"/>
      <c r="Q93" s="31"/>
      <c r="R93" s="31"/>
      <c r="S93" s="31"/>
      <c r="T93" s="31"/>
      <c r="U93" s="31"/>
      <c r="V93" s="31"/>
      <c r="W93" s="31"/>
      <c r="X93" s="31"/>
      <c r="Y93" s="31"/>
      <c r="Z93" s="31"/>
    </row>
    <row r="94" ht="13.5" customHeight="1">
      <c r="A94" s="41" t="s">
        <v>79</v>
      </c>
      <c r="B94" s="41" t="str">
        <f t="array" ref="B94">IFERROR(INDEX(#REF!,MATCH(INDIRECT(ADDRESS(ROW(),COLUMN()-1,4)),#REF!,0)),IF(INDIRECT(ADDRESS(ROW(),COLUMN()-1,4))="51141722","Fumarato de quetiapina",""))</f>
        <v>Fumarato de quetiapina</v>
      </c>
      <c r="C94" s="42" t="str">
        <f t="shared" si="19"/>
        <v/>
      </c>
      <c r="D94" s="41">
        <v>7000.0</v>
      </c>
      <c r="E94" s="43">
        <v>42.5</v>
      </c>
      <c r="F94" s="43">
        <f t="shared" si="20"/>
        <v>297500</v>
      </c>
      <c r="G94" s="31"/>
      <c r="H94" s="31"/>
      <c r="I94" s="31"/>
      <c r="J94" s="31"/>
      <c r="K94" s="31"/>
      <c r="L94" s="31"/>
      <c r="M94" s="31"/>
      <c r="N94" s="31"/>
      <c r="O94" s="31"/>
      <c r="P94" s="31"/>
      <c r="Q94" s="31"/>
      <c r="R94" s="31"/>
      <c r="S94" s="31"/>
      <c r="T94" s="31"/>
      <c r="U94" s="31"/>
      <c r="V94" s="31"/>
      <c r="W94" s="31"/>
      <c r="X94" s="31"/>
      <c r="Y94" s="31"/>
      <c r="Z94" s="31"/>
    </row>
    <row r="95" ht="13.5" customHeight="1">
      <c r="A95" s="41" t="s">
        <v>80</v>
      </c>
      <c r="B95" s="41" t="str">
        <f t="array" ref="B95">IFERROR(INDEX(#REF!,MATCH(INDIRECT(ADDRESS(ROW(),COLUMN()-1,4)),#REF!,0)),IF(INDIRECT(ADDRESS(ROW(),COLUMN()-1,4))="51121743","Besilato de amlodipina",""))</f>
        <v>Besilato de amlodipina</v>
      </c>
      <c r="C95" s="42" t="str">
        <f t="shared" si="19"/>
        <v/>
      </c>
      <c r="D95" s="41">
        <v>60000.0</v>
      </c>
      <c r="E95" s="43">
        <v>11.5</v>
      </c>
      <c r="F95" s="43">
        <f t="shared" si="20"/>
        <v>690000</v>
      </c>
      <c r="G95" s="31"/>
      <c r="H95" s="31"/>
      <c r="I95" s="31"/>
      <c r="J95" s="31"/>
      <c r="K95" s="31"/>
      <c r="L95" s="31"/>
      <c r="M95" s="31"/>
      <c r="N95" s="31"/>
      <c r="O95" s="31"/>
      <c r="P95" s="31"/>
      <c r="Q95" s="31"/>
      <c r="R95" s="31"/>
      <c r="S95" s="31"/>
      <c r="T95" s="31"/>
      <c r="U95" s="31"/>
      <c r="V95" s="31"/>
      <c r="W95" s="31"/>
      <c r="X95" s="31"/>
      <c r="Y95" s="31"/>
      <c r="Z95" s="31"/>
    </row>
    <row r="96" ht="13.5" customHeight="1">
      <c r="A96" s="41" t="s">
        <v>81</v>
      </c>
      <c r="B96" s="41" t="str">
        <f t="array" ref="B96">IFERROR(INDEX(#REF!,MATCH(INDIRECT(ADDRESS(ROW(),COLUMN()-1,4)),#REF!,0)),IF(INDIRECT(ADDRESS(ROW(),COLUMN()-1,4))="51141703","Olanzapina",""))</f>
        <v>Olanzapina</v>
      </c>
      <c r="C96" s="42" t="str">
        <f t="shared" si="19"/>
        <v/>
      </c>
      <c r="D96" s="41">
        <v>8000.0</v>
      </c>
      <c r="E96" s="43">
        <v>67.0</v>
      </c>
      <c r="F96" s="43">
        <f t="shared" si="20"/>
        <v>536000</v>
      </c>
      <c r="G96" s="31"/>
      <c r="H96" s="31"/>
      <c r="I96" s="31"/>
      <c r="J96" s="31"/>
      <c r="K96" s="31"/>
      <c r="L96" s="31"/>
      <c r="M96" s="31"/>
      <c r="N96" s="31"/>
      <c r="O96" s="31"/>
      <c r="P96" s="31"/>
      <c r="Q96" s="31"/>
      <c r="R96" s="31"/>
      <c r="S96" s="31"/>
      <c r="T96" s="31"/>
      <c r="U96" s="31"/>
      <c r="V96" s="31"/>
      <c r="W96" s="31"/>
      <c r="X96" s="31"/>
      <c r="Y96" s="31"/>
      <c r="Z96" s="31"/>
    </row>
    <row r="97" ht="13.5" customHeight="1">
      <c r="A97" s="41" t="s">
        <v>82</v>
      </c>
      <c r="B97" s="41" t="str">
        <f t="array" ref="B97">IFERROR(INDEX(#REF!,MATCH(INDIRECT(ADDRESS(ROW(),COLUMN()-1,4)),#REF!,0)),IF(INDIRECT(ADDRESS(ROW(),COLUMN()-1,4))="51141531","Ácido valproico",""))</f>
        <v>Ácido valproico</v>
      </c>
      <c r="C97" s="42" t="str">
        <f t="shared" si="19"/>
        <v/>
      </c>
      <c r="D97" s="41">
        <v>10000.0</v>
      </c>
      <c r="E97" s="43">
        <v>25.0</v>
      </c>
      <c r="F97" s="43">
        <f t="shared" si="20"/>
        <v>250000</v>
      </c>
      <c r="G97" s="31"/>
      <c r="H97" s="31"/>
      <c r="I97" s="31"/>
      <c r="J97" s="31"/>
      <c r="K97" s="31"/>
      <c r="L97" s="31"/>
      <c r="M97" s="31"/>
      <c r="N97" s="31"/>
      <c r="O97" s="31"/>
      <c r="P97" s="31"/>
      <c r="Q97" s="31"/>
      <c r="R97" s="31"/>
      <c r="S97" s="31"/>
      <c r="T97" s="31"/>
      <c r="U97" s="31"/>
      <c r="V97" s="31"/>
      <c r="W97" s="31"/>
      <c r="X97" s="31"/>
      <c r="Y97" s="31"/>
      <c r="Z97" s="31"/>
    </row>
    <row r="98" ht="13.5" customHeight="1">
      <c r="A98" s="41" t="s">
        <v>83</v>
      </c>
      <c r="B98" s="41" t="str">
        <f t="array" ref="B98">IFERROR(INDEX(#REF!,MATCH(INDIRECT(ADDRESS(ROW(),COLUMN()-1,4)),#REF!,0)),IF(INDIRECT(ADDRESS(ROW(),COLUMN()-1,4))="51121709","Carvedilol",""))</f>
        <v>Carvedilol</v>
      </c>
      <c r="C98" s="42" t="str">
        <f t="shared" si="19"/>
        <v/>
      </c>
      <c r="D98" s="41">
        <v>12000.0</v>
      </c>
      <c r="E98" s="43">
        <v>8.2</v>
      </c>
      <c r="F98" s="43">
        <f t="shared" si="20"/>
        <v>98400</v>
      </c>
      <c r="G98" s="31"/>
      <c r="H98" s="31"/>
      <c r="I98" s="31"/>
      <c r="J98" s="31"/>
      <c r="K98" s="31"/>
      <c r="L98" s="31"/>
      <c r="M98" s="31"/>
      <c r="N98" s="31"/>
      <c r="O98" s="31"/>
      <c r="P98" s="31"/>
      <c r="Q98" s="31"/>
      <c r="R98" s="31"/>
      <c r="S98" s="31"/>
      <c r="T98" s="31"/>
      <c r="U98" s="31"/>
      <c r="V98" s="31"/>
      <c r="W98" s="31"/>
      <c r="X98" s="31"/>
      <c r="Y98" s="31"/>
      <c r="Z98" s="31"/>
    </row>
    <row r="99" ht="13.5" customHeight="1">
      <c r="A99" s="41" t="s">
        <v>84</v>
      </c>
      <c r="B99" s="41" t="str">
        <f t="array" ref="B99">IFERROR(INDEX(#REF!,MATCH(INDIRECT(ADDRESS(ROW(),COLUMN()-1,4)),#REF!,0)),IF(INDIRECT(ADDRESS(ROW(),COLUMN()-1,4))="51181608","Levotiroxina",""))</f>
        <v>Levotiroxina</v>
      </c>
      <c r="C99" s="42" t="str">
        <f t="shared" si="19"/>
        <v/>
      </c>
      <c r="D99" s="41">
        <v>5000.0</v>
      </c>
      <c r="E99" s="43">
        <v>6.02</v>
      </c>
      <c r="F99" s="43">
        <f t="shared" si="20"/>
        <v>30100</v>
      </c>
      <c r="G99" s="31"/>
      <c r="H99" s="31"/>
      <c r="I99" s="31"/>
      <c r="J99" s="31"/>
      <c r="K99" s="31"/>
      <c r="L99" s="31"/>
      <c r="M99" s="31"/>
      <c r="N99" s="31"/>
      <c r="O99" s="31"/>
      <c r="P99" s="31"/>
      <c r="Q99" s="31"/>
      <c r="R99" s="31"/>
      <c r="S99" s="31"/>
      <c r="T99" s="31"/>
      <c r="U99" s="31"/>
      <c r="V99" s="31"/>
      <c r="W99" s="31"/>
      <c r="X99" s="31"/>
      <c r="Y99" s="31"/>
      <c r="Z99" s="31"/>
    </row>
    <row r="100" ht="13.5" customHeight="1">
      <c r="A100" s="41" t="s">
        <v>85</v>
      </c>
      <c r="B100" s="41" t="str">
        <f t="array" ref="B100">IFERROR(INDEX(#REF!,MATCH(INDIRECT(ADDRESS(ROW(),COLUMN()-1,4)),#REF!,0)),IF(INDIRECT(ADDRESS(ROW(),COLUMN()-1,4))="51181517","Hidrocloruro de metformina",""))</f>
        <v>Hidrocloruro de metformina</v>
      </c>
      <c r="C100" s="42" t="str">
        <f t="shared" si="19"/>
        <v/>
      </c>
      <c r="D100" s="41">
        <v>30000.0</v>
      </c>
      <c r="E100" s="43">
        <v>6.0</v>
      </c>
      <c r="F100" s="43">
        <f t="shared" si="20"/>
        <v>180000</v>
      </c>
      <c r="G100" s="31"/>
      <c r="H100" s="31"/>
      <c r="I100" s="31"/>
      <c r="J100" s="31"/>
      <c r="K100" s="31"/>
      <c r="L100" s="31"/>
      <c r="M100" s="31"/>
      <c r="N100" s="31"/>
      <c r="O100" s="31"/>
      <c r="P100" s="31"/>
      <c r="Q100" s="31"/>
      <c r="R100" s="31"/>
      <c r="S100" s="31"/>
      <c r="T100" s="31"/>
      <c r="U100" s="31"/>
      <c r="V100" s="31"/>
      <c r="W100" s="31"/>
      <c r="X100" s="31"/>
      <c r="Y100" s="31"/>
      <c r="Z100" s="31"/>
    </row>
    <row r="101" ht="13.5" customHeight="1">
      <c r="A101" s="41" t="s">
        <v>86</v>
      </c>
      <c r="B101" s="41" t="str">
        <f t="array" ref="B101">IFERROR(INDEX(#REF!,MATCH(INDIRECT(ADDRESS(ROW(),COLUMN()-1,4)),#REF!,0)),IF(INDIRECT(ADDRESS(ROW(),COLUMN()-1,4))="51141517","Gabapentina",""))</f>
        <v>Gabapentina</v>
      </c>
      <c r="C101" s="42" t="str">
        <f t="shared" si="19"/>
        <v/>
      </c>
      <c r="D101" s="41">
        <v>5000.0</v>
      </c>
      <c r="E101" s="43">
        <v>27.96</v>
      </c>
      <c r="F101" s="43">
        <f t="shared" si="20"/>
        <v>139800</v>
      </c>
      <c r="G101" s="31"/>
      <c r="H101" s="31"/>
      <c r="I101" s="31"/>
      <c r="J101" s="31"/>
      <c r="K101" s="31"/>
      <c r="L101" s="31"/>
      <c r="M101" s="31"/>
      <c r="N101" s="31"/>
      <c r="O101" s="31"/>
      <c r="P101" s="31"/>
      <c r="Q101" s="31"/>
      <c r="R101" s="31"/>
      <c r="S101" s="31"/>
      <c r="T101" s="31"/>
      <c r="U101" s="31"/>
      <c r="V101" s="31"/>
      <c r="W101" s="31"/>
      <c r="X101" s="31"/>
      <c r="Y101" s="31"/>
      <c r="Z101" s="31"/>
    </row>
    <row r="102" ht="13.5" customHeight="1">
      <c r="A102" s="41" t="s">
        <v>87</v>
      </c>
      <c r="B102" s="41" t="str">
        <f t="array" ref="B102">IFERROR(INDEX(#REF!,MATCH(INDIRECT(ADDRESS(ROW(),COLUMN()-1,4)),#REF!,0)),IF(INDIRECT(ADDRESS(ROW(),COLUMN()-1,4))="51141704","Risperidona",""))</f>
        <v>Risperidona</v>
      </c>
      <c r="C102" s="42" t="str">
        <f t="shared" si="19"/>
        <v/>
      </c>
      <c r="D102" s="41">
        <v>2000.0</v>
      </c>
      <c r="E102" s="43">
        <v>485.0</v>
      </c>
      <c r="F102" s="43">
        <f t="shared" si="20"/>
        <v>970000</v>
      </c>
      <c r="G102" s="31"/>
      <c r="H102" s="31"/>
      <c r="I102" s="31"/>
      <c r="J102" s="31"/>
      <c r="K102" s="31"/>
      <c r="L102" s="31"/>
      <c r="M102" s="31"/>
      <c r="N102" s="31"/>
      <c r="O102" s="31"/>
      <c r="P102" s="31"/>
      <c r="Q102" s="31"/>
      <c r="R102" s="31"/>
      <c r="S102" s="31"/>
      <c r="T102" s="31"/>
      <c r="U102" s="31"/>
      <c r="V102" s="31"/>
      <c r="W102" s="31"/>
      <c r="X102" s="31"/>
      <c r="Y102" s="31"/>
      <c r="Z102" s="31"/>
    </row>
    <row r="103" ht="13.5" customHeight="1">
      <c r="A103" s="41" t="s">
        <v>88</v>
      </c>
      <c r="B103" s="41" t="str">
        <f t="array" ref="B103">IFERROR(INDEX(#REF!,MATCH(INDIRECT(ADDRESS(ROW(),COLUMN()-1,4)),#REF!,0)),IF(INDIRECT(ADDRESS(ROW(),COLUMN()-1,4))="51121733","Valsartán",""))</f>
        <v>Valsartán</v>
      </c>
      <c r="C103" s="42" t="str">
        <f t="shared" si="19"/>
        <v/>
      </c>
      <c r="D103" s="41">
        <v>10000.0</v>
      </c>
      <c r="E103" s="43">
        <v>15.0</v>
      </c>
      <c r="F103" s="43">
        <f t="shared" si="20"/>
        <v>150000</v>
      </c>
      <c r="G103" s="31"/>
      <c r="H103" s="31"/>
      <c r="I103" s="31"/>
      <c r="J103" s="31"/>
      <c r="K103" s="31"/>
      <c r="L103" s="31"/>
      <c r="M103" s="31"/>
      <c r="N103" s="31"/>
      <c r="O103" s="31"/>
      <c r="P103" s="31"/>
      <c r="Q103" s="31"/>
      <c r="R103" s="31"/>
      <c r="S103" s="31"/>
      <c r="T103" s="31"/>
      <c r="U103" s="31"/>
      <c r="V103" s="31"/>
      <c r="W103" s="31"/>
      <c r="X103" s="31"/>
      <c r="Y103" s="31"/>
      <c r="Z103" s="31"/>
    </row>
    <row r="104" ht="13.5" customHeight="1">
      <c r="A104" s="41" t="s">
        <v>80</v>
      </c>
      <c r="B104" s="41" t="str">
        <f t="array" ref="B104">IFERROR(INDEX(#REF!,MATCH(INDIRECT(ADDRESS(ROW(),COLUMN()-1,4)),#REF!,0)),IF(INDIRECT(ADDRESS(ROW(),COLUMN()-1,4))="51121743","Besilato de amlodipina",""))</f>
        <v>Besilato de amlodipina</v>
      </c>
      <c r="C104" s="42" t="str">
        <f t="shared" si="19"/>
        <v/>
      </c>
      <c r="D104" s="41">
        <v>10000.0</v>
      </c>
      <c r="E104" s="43">
        <v>2.0</v>
      </c>
      <c r="F104" s="43">
        <f t="shared" si="20"/>
        <v>20000</v>
      </c>
      <c r="G104" s="31"/>
      <c r="H104" s="31"/>
      <c r="I104" s="31"/>
      <c r="J104" s="31"/>
      <c r="K104" s="31"/>
      <c r="L104" s="31"/>
      <c r="M104" s="31"/>
      <c r="N104" s="31"/>
      <c r="O104" s="31"/>
      <c r="P104" s="31"/>
      <c r="Q104" s="31"/>
      <c r="R104" s="31"/>
      <c r="S104" s="31"/>
      <c r="T104" s="31"/>
      <c r="U104" s="31"/>
      <c r="V104" s="31"/>
      <c r="W104" s="31"/>
      <c r="X104" s="31"/>
      <c r="Y104" s="31"/>
      <c r="Z104" s="31"/>
    </row>
    <row r="105" ht="13.5" customHeight="1">
      <c r="A105" s="41" t="s">
        <v>89</v>
      </c>
      <c r="B105" s="41" t="str">
        <f t="shared" ref="B105:B106" si="22">IFERROR(INDEX(#REF!,MATCH(INDIRECT(ADDRESS(ROW(),COLUMN()-1,4)),#REF!,0)),IF(INDIRECT(ADDRESS(ROW(),COLUMN()-1,4))="51151801","Atenolol",""))</f>
        <v>Atenolol</v>
      </c>
      <c r="C105" s="42" t="str">
        <f t="shared" si="19"/>
        <v/>
      </c>
      <c r="D105" s="41">
        <v>30000.0</v>
      </c>
      <c r="E105" s="43">
        <v>1.5</v>
      </c>
      <c r="F105" s="43">
        <f t="shared" si="20"/>
        <v>45000</v>
      </c>
      <c r="G105" s="31"/>
      <c r="H105" s="31"/>
      <c r="I105" s="31"/>
      <c r="J105" s="31"/>
      <c r="K105" s="31"/>
      <c r="L105" s="31"/>
      <c r="M105" s="31"/>
      <c r="N105" s="31"/>
      <c r="O105" s="31"/>
      <c r="P105" s="31"/>
      <c r="Q105" s="31"/>
      <c r="R105" s="31"/>
      <c r="S105" s="31"/>
      <c r="T105" s="31"/>
      <c r="U105" s="31"/>
      <c r="V105" s="31"/>
      <c r="W105" s="31"/>
      <c r="X105" s="31"/>
      <c r="Y105" s="31"/>
      <c r="Z105" s="31"/>
    </row>
    <row r="106" ht="13.5" customHeight="1">
      <c r="A106" s="41" t="s">
        <v>89</v>
      </c>
      <c r="B106" s="41" t="str">
        <f t="shared" si="22"/>
        <v>Atenolol</v>
      </c>
      <c r="C106" s="42" t="str">
        <f t="shared" si="19"/>
        <v/>
      </c>
      <c r="D106" s="41">
        <v>20000.0</v>
      </c>
      <c r="E106" s="43">
        <v>1.4</v>
      </c>
      <c r="F106" s="43">
        <f t="shared" si="20"/>
        <v>28000</v>
      </c>
      <c r="G106" s="31"/>
      <c r="H106" s="31"/>
      <c r="I106" s="31"/>
      <c r="J106" s="31"/>
      <c r="K106" s="31"/>
      <c r="L106" s="31"/>
      <c r="M106" s="31"/>
      <c r="N106" s="31"/>
      <c r="O106" s="31"/>
      <c r="P106" s="31"/>
      <c r="Q106" s="31"/>
      <c r="R106" s="31"/>
      <c r="S106" s="31"/>
      <c r="T106" s="31"/>
      <c r="U106" s="31"/>
      <c r="V106" s="31"/>
      <c r="W106" s="31"/>
      <c r="X106" s="31"/>
      <c r="Y106" s="31"/>
      <c r="Z106" s="31"/>
    </row>
    <row r="107" ht="13.5" customHeight="1">
      <c r="A107" s="41" t="s">
        <v>90</v>
      </c>
      <c r="B107" s="41" t="str">
        <f t="shared" ref="B107:B108" si="23">IFERROR(INDEX(#REF!,MATCH(INDIRECT(ADDRESS(ROW(),COLUMN()-1,4)),#REF!,0)),IF(INDIRECT(ADDRESS(ROW(),COLUMN()-1,4))="51141513","Carbamazepina",""))</f>
        <v>Carbamazepina</v>
      </c>
      <c r="C107" s="42" t="str">
        <f t="shared" si="19"/>
        <v/>
      </c>
      <c r="D107" s="41">
        <v>30000.0</v>
      </c>
      <c r="E107" s="43">
        <v>3.0</v>
      </c>
      <c r="F107" s="43">
        <f t="shared" si="20"/>
        <v>90000</v>
      </c>
      <c r="G107" s="31"/>
      <c r="H107" s="31"/>
      <c r="I107" s="31"/>
      <c r="J107" s="31"/>
      <c r="K107" s="31"/>
      <c r="L107" s="31"/>
      <c r="M107" s="31"/>
      <c r="N107" s="31"/>
      <c r="O107" s="31"/>
      <c r="P107" s="31"/>
      <c r="Q107" s="31"/>
      <c r="R107" s="31"/>
      <c r="S107" s="31"/>
      <c r="T107" s="31"/>
      <c r="U107" s="31"/>
      <c r="V107" s="31"/>
      <c r="W107" s="31"/>
      <c r="X107" s="31"/>
      <c r="Y107" s="31"/>
      <c r="Z107" s="31"/>
    </row>
    <row r="108" ht="13.5" customHeight="1">
      <c r="A108" s="41" t="s">
        <v>90</v>
      </c>
      <c r="B108" s="41" t="str">
        <f t="shared" si="23"/>
        <v>Carbamazepina</v>
      </c>
      <c r="C108" s="42" t="str">
        <f t="shared" si="19"/>
        <v/>
      </c>
      <c r="D108" s="41">
        <v>10000.0</v>
      </c>
      <c r="E108" s="43">
        <v>6.0</v>
      </c>
      <c r="F108" s="43">
        <f t="shared" si="20"/>
        <v>60000</v>
      </c>
      <c r="G108" s="31"/>
      <c r="H108" s="31"/>
      <c r="I108" s="31"/>
      <c r="J108" s="31"/>
      <c r="K108" s="31"/>
      <c r="L108" s="31"/>
      <c r="M108" s="31"/>
      <c r="N108" s="31"/>
      <c r="O108" s="31"/>
      <c r="P108" s="31"/>
      <c r="Q108" s="31"/>
      <c r="R108" s="31"/>
      <c r="S108" s="31"/>
      <c r="T108" s="31"/>
      <c r="U108" s="31"/>
      <c r="V108" s="31"/>
      <c r="W108" s="31"/>
      <c r="X108" s="31"/>
      <c r="Y108" s="31"/>
      <c r="Z108" s="31"/>
    </row>
    <row r="109" ht="13.5" customHeight="1">
      <c r="A109" s="41" t="s">
        <v>83</v>
      </c>
      <c r="B109" s="41" t="str">
        <f t="shared" ref="B109:B110" si="24">IFERROR(INDEX(#REF!,MATCH(INDIRECT(ADDRESS(ROW(),COLUMN()-1,4)),#REF!,0)),IF(INDIRECT(ADDRESS(ROW(),COLUMN()-1,4))="51121709","Carvedilol",""))</f>
        <v>Carvedilol</v>
      </c>
      <c r="C109" s="42" t="str">
        <f t="shared" si="19"/>
        <v/>
      </c>
      <c r="D109" s="41">
        <v>10000.0</v>
      </c>
      <c r="E109" s="43">
        <v>9.0</v>
      </c>
      <c r="F109" s="43">
        <f t="shared" si="20"/>
        <v>90000</v>
      </c>
      <c r="G109" s="31"/>
      <c r="H109" s="31"/>
      <c r="I109" s="31"/>
      <c r="J109" s="31"/>
      <c r="K109" s="31"/>
      <c r="L109" s="31"/>
      <c r="M109" s="31"/>
      <c r="N109" s="31"/>
      <c r="O109" s="31"/>
      <c r="P109" s="31"/>
      <c r="Q109" s="31"/>
      <c r="R109" s="31"/>
      <c r="S109" s="31"/>
      <c r="T109" s="31"/>
      <c r="U109" s="31"/>
      <c r="V109" s="31"/>
      <c r="W109" s="31"/>
      <c r="X109" s="31"/>
      <c r="Y109" s="31"/>
      <c r="Z109" s="31"/>
    </row>
    <row r="110" ht="13.5" customHeight="1">
      <c r="A110" s="41" t="s">
        <v>83</v>
      </c>
      <c r="B110" s="41" t="str">
        <f t="shared" si="24"/>
        <v>Carvedilol</v>
      </c>
      <c r="C110" s="42" t="str">
        <f t="shared" si="19"/>
        <v/>
      </c>
      <c r="D110" s="41">
        <v>10000.0</v>
      </c>
      <c r="E110" s="43">
        <v>13.0</v>
      </c>
      <c r="F110" s="43">
        <f t="shared" si="20"/>
        <v>130000</v>
      </c>
      <c r="G110" s="31"/>
      <c r="H110" s="31"/>
      <c r="I110" s="31"/>
      <c r="J110" s="31"/>
      <c r="K110" s="31"/>
      <c r="L110" s="31"/>
      <c r="M110" s="31"/>
      <c r="N110" s="31"/>
      <c r="O110" s="31"/>
      <c r="P110" s="31"/>
      <c r="Q110" s="31"/>
      <c r="R110" s="31"/>
      <c r="S110" s="31"/>
      <c r="T110" s="31"/>
      <c r="U110" s="31"/>
      <c r="V110" s="31"/>
      <c r="W110" s="31"/>
      <c r="X110" s="31"/>
      <c r="Y110" s="31"/>
      <c r="Z110" s="31"/>
    </row>
    <row r="111" ht="13.5" customHeight="1">
      <c r="A111" s="41" t="s">
        <v>91</v>
      </c>
      <c r="B111" s="41" t="str">
        <f t="array" ref="B111">IFERROR(INDEX(#REF!,MATCH(INDIRECT(ADDRESS(ROW(),COLUMN()-1,4)),#REF!,0)),IF(INDIRECT(ADDRESS(ROW(),COLUMN()-1,4))="51141714","Piracetam",""))</f>
        <v>Piracetam</v>
      </c>
      <c r="C111" s="42" t="str">
        <f t="shared" si="19"/>
        <v/>
      </c>
      <c r="D111" s="41">
        <v>20000.0</v>
      </c>
      <c r="E111" s="43">
        <v>8.0</v>
      </c>
      <c r="F111" s="43">
        <f t="shared" si="20"/>
        <v>160000</v>
      </c>
      <c r="G111" s="31"/>
      <c r="H111" s="31"/>
      <c r="I111" s="31"/>
      <c r="J111" s="31"/>
      <c r="K111" s="31"/>
      <c r="L111" s="31"/>
      <c r="M111" s="31"/>
      <c r="N111" s="31"/>
      <c r="O111" s="31"/>
      <c r="P111" s="31"/>
      <c r="Q111" s="31"/>
      <c r="R111" s="31"/>
      <c r="S111" s="31"/>
      <c r="T111" s="31"/>
      <c r="U111" s="31"/>
      <c r="V111" s="31"/>
      <c r="W111" s="31"/>
      <c r="X111" s="31"/>
      <c r="Y111" s="31"/>
      <c r="Z111" s="31"/>
    </row>
    <row r="112" ht="13.5" customHeight="1">
      <c r="A112" s="41" t="s">
        <v>79</v>
      </c>
      <c r="B112" s="41" t="str">
        <f t="array" ref="B112">IFERROR(INDEX(#REF!,MATCH(INDIRECT(ADDRESS(ROW(),COLUMN()-1,4)),#REF!,0)),IF(INDIRECT(ADDRESS(ROW(),COLUMN()-1,4))="51141722","Fumarato de quetiapina",""))</f>
        <v>Fumarato de quetiapina</v>
      </c>
      <c r="C112" s="42" t="str">
        <f t="shared" si="19"/>
        <v/>
      </c>
      <c r="D112" s="41">
        <v>20000.0</v>
      </c>
      <c r="E112" s="43">
        <v>28.0</v>
      </c>
      <c r="F112" s="43">
        <f t="shared" si="20"/>
        <v>560000</v>
      </c>
      <c r="G112" s="31"/>
      <c r="H112" s="31"/>
      <c r="I112" s="31"/>
      <c r="J112" s="31"/>
      <c r="K112" s="31"/>
      <c r="L112" s="31"/>
      <c r="M112" s="31"/>
      <c r="N112" s="31"/>
      <c r="O112" s="31"/>
      <c r="P112" s="31"/>
      <c r="Q112" s="31"/>
      <c r="R112" s="31"/>
      <c r="S112" s="31"/>
      <c r="T112" s="31"/>
      <c r="U112" s="31"/>
      <c r="V112" s="31"/>
      <c r="W112" s="31"/>
      <c r="X112" s="31"/>
      <c r="Y112" s="31"/>
      <c r="Z112" s="31"/>
    </row>
    <row r="113" ht="13.5" customHeight="1">
      <c r="A113" s="41" t="s">
        <v>87</v>
      </c>
      <c r="B113" s="41" t="str">
        <f t="array" ref="B113">IFERROR(INDEX(#REF!,MATCH(INDIRECT(ADDRESS(ROW(),COLUMN()-1,4)),#REF!,0)),IF(INDIRECT(ADDRESS(ROW(),COLUMN()-1,4))="51141704","Risperidona",""))</f>
        <v>Risperidona</v>
      </c>
      <c r="C113" s="42" t="str">
        <f t="shared" si="19"/>
        <v/>
      </c>
      <c r="D113" s="41">
        <v>10000.0</v>
      </c>
      <c r="E113" s="43">
        <v>11.5</v>
      </c>
      <c r="F113" s="43">
        <f t="shared" si="20"/>
        <v>115000</v>
      </c>
      <c r="G113" s="31"/>
      <c r="H113" s="31"/>
      <c r="I113" s="31"/>
      <c r="J113" s="31"/>
      <c r="K113" s="31"/>
      <c r="L113" s="31"/>
      <c r="M113" s="31"/>
      <c r="N113" s="31"/>
      <c r="O113" s="31"/>
      <c r="P113" s="31"/>
      <c r="Q113" s="31"/>
      <c r="R113" s="31"/>
      <c r="S113" s="31"/>
      <c r="T113" s="31"/>
      <c r="U113" s="31"/>
      <c r="V113" s="31"/>
      <c r="W113" s="31"/>
      <c r="X113" s="31"/>
      <c r="Y113" s="31"/>
      <c r="Z113" s="31"/>
    </row>
    <row r="114" ht="13.5" customHeight="1">
      <c r="A114" s="41" t="s">
        <v>92</v>
      </c>
      <c r="B114" s="41" t="str">
        <f t="array" ref="B114">IFERROR(INDEX(#REF!,MATCH(INDIRECT(ADDRESS(ROW(),COLUMN()-1,4)),#REF!,0)),IF(INDIRECT(ADDRESS(ROW(),COLUMN()-1,4))="51121803","Simvastatina",""))</f>
        <v>Simvastatina</v>
      </c>
      <c r="C114" s="42" t="str">
        <f t="shared" si="19"/>
        <v/>
      </c>
      <c r="D114" s="41">
        <v>20000.0</v>
      </c>
      <c r="E114" s="43">
        <v>4.25</v>
      </c>
      <c r="F114" s="43">
        <f t="shared" si="20"/>
        <v>85000</v>
      </c>
      <c r="G114" s="31"/>
      <c r="H114" s="31"/>
      <c r="I114" s="31"/>
      <c r="J114" s="31"/>
      <c r="K114" s="31"/>
      <c r="L114" s="31"/>
      <c r="M114" s="31"/>
      <c r="N114" s="31"/>
      <c r="O114" s="31"/>
      <c r="P114" s="31"/>
      <c r="Q114" s="31"/>
      <c r="R114" s="31"/>
      <c r="S114" s="31"/>
      <c r="T114" s="31"/>
      <c r="U114" s="31"/>
      <c r="V114" s="31"/>
      <c r="W114" s="31"/>
      <c r="X114" s="31"/>
      <c r="Y114" s="31"/>
      <c r="Z114" s="31"/>
    </row>
    <row r="115" ht="13.5" customHeight="1">
      <c r="A115" s="31"/>
      <c r="B115" s="31"/>
      <c r="C115" s="31"/>
      <c r="D115" s="31"/>
      <c r="E115" s="44" t="s">
        <v>63</v>
      </c>
      <c r="F115" s="45">
        <f>SUM(PACC!$F$86:$F$114)</f>
        <v>22516378</v>
      </c>
      <c r="G115" s="31"/>
      <c r="H115" s="31" t="str">
        <f>C79</f>
        <v>Bienes</v>
      </c>
      <c r="I115" s="31" t="str">
        <f>E79</f>
        <v>No</v>
      </c>
      <c r="J115" s="31" t="str">
        <f>D79</f>
        <v>Licitacion Publica</v>
      </c>
      <c r="K115" s="31"/>
      <c r="L115" s="31"/>
      <c r="M115" s="31"/>
      <c r="N115" s="31"/>
      <c r="O115" s="31"/>
      <c r="P115" s="31"/>
      <c r="Q115" s="31"/>
      <c r="R115" s="31"/>
      <c r="S115" s="31"/>
      <c r="T115" s="31"/>
      <c r="U115" s="31"/>
      <c r="V115" s="31"/>
      <c r="W115" s="31"/>
      <c r="X115" s="31"/>
      <c r="Y115" s="31"/>
      <c r="Z115" s="31"/>
    </row>
    <row r="116" ht="13.5" customHeight="1">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row>
    <row r="117" ht="33.75" customHeight="1">
      <c r="A117" s="32" t="s">
        <v>19</v>
      </c>
      <c r="B117" s="32" t="s">
        <v>20</v>
      </c>
      <c r="C117" s="32" t="s">
        <v>21</v>
      </c>
      <c r="D117" s="32" t="s">
        <v>22</v>
      </c>
      <c r="E117" s="32" t="s">
        <v>23</v>
      </c>
      <c r="F117" s="32" t="s">
        <v>24</v>
      </c>
      <c r="G117" s="31"/>
      <c r="H117" s="31"/>
      <c r="I117" s="31"/>
      <c r="J117" s="31"/>
      <c r="K117" s="31"/>
      <c r="L117" s="31"/>
      <c r="M117" s="31"/>
      <c r="N117" s="31"/>
      <c r="O117" s="31"/>
      <c r="P117" s="31"/>
      <c r="Q117" s="31"/>
      <c r="R117" s="31"/>
      <c r="S117" s="31"/>
      <c r="T117" s="31"/>
      <c r="U117" s="31"/>
      <c r="V117" s="31"/>
      <c r="W117" s="31"/>
      <c r="X117" s="31"/>
      <c r="Y117" s="31"/>
      <c r="Z117" s="31"/>
    </row>
    <row r="118" ht="13.5" customHeight="1">
      <c r="A118" s="33" t="s">
        <v>93</v>
      </c>
      <c r="B118" s="33" t="s">
        <v>94</v>
      </c>
      <c r="C118" s="33" t="s">
        <v>95</v>
      </c>
      <c r="D118" s="33" t="s">
        <v>66</v>
      </c>
      <c r="E118" s="33" t="s">
        <v>67</v>
      </c>
      <c r="F118" s="33"/>
      <c r="G118" s="31"/>
      <c r="H118" s="31"/>
      <c r="I118" s="31"/>
      <c r="J118" s="31"/>
      <c r="K118" s="31"/>
      <c r="L118" s="31"/>
      <c r="M118" s="31"/>
      <c r="N118" s="31"/>
      <c r="O118" s="31"/>
      <c r="P118" s="31"/>
      <c r="Q118" s="31"/>
      <c r="R118" s="31"/>
      <c r="S118" s="31"/>
      <c r="T118" s="31"/>
      <c r="U118" s="31"/>
      <c r="V118" s="31"/>
      <c r="W118" s="31"/>
      <c r="X118" s="31"/>
      <c r="Y118" s="31"/>
      <c r="Z118" s="31"/>
    </row>
    <row r="119" ht="13.5" customHeight="1">
      <c r="A119" s="34" t="s">
        <v>30</v>
      </c>
      <c r="B119" s="35" t="s">
        <v>31</v>
      </c>
      <c r="C119" s="36">
        <v>44967.0</v>
      </c>
      <c r="D119" s="34" t="s">
        <v>32</v>
      </c>
      <c r="E119" s="35" t="s">
        <v>33</v>
      </c>
      <c r="F119" s="37"/>
      <c r="G119" s="31"/>
      <c r="H119" s="31"/>
      <c r="I119" s="31"/>
      <c r="J119" s="31"/>
      <c r="K119" s="31"/>
      <c r="L119" s="31"/>
      <c r="M119" s="31"/>
      <c r="N119" s="31"/>
      <c r="O119" s="31"/>
      <c r="P119" s="31"/>
      <c r="Q119" s="31"/>
      <c r="R119" s="31"/>
      <c r="S119" s="31"/>
      <c r="T119" s="31"/>
      <c r="U119" s="31"/>
      <c r="V119" s="31"/>
      <c r="W119" s="31"/>
      <c r="X119" s="31"/>
      <c r="Y119" s="31"/>
      <c r="Z119" s="31"/>
    </row>
    <row r="120" ht="13.5" customHeight="1">
      <c r="A120" s="38"/>
      <c r="B120" s="35" t="s">
        <v>34</v>
      </c>
      <c r="C120" s="33">
        <f>IF(C119="","",IF(AND(MONTH(C119)&gt;=1,MONTH(C119)&lt;=3),1,IF(AND(MONTH(C119)&gt;=4,MONTH(C119)&lt;=6),2,IF(AND(MONTH(C119)&gt;=7,MONTH(C119)&lt;=9),3,4))))</f>
        <v>1</v>
      </c>
      <c r="D120" s="38"/>
      <c r="E120" s="35" t="s">
        <v>35</v>
      </c>
      <c r="F120" s="37"/>
      <c r="G120" s="31"/>
      <c r="H120" s="31"/>
      <c r="I120" s="31"/>
      <c r="J120" s="31"/>
      <c r="K120" s="31"/>
      <c r="L120" s="31"/>
      <c r="M120" s="31"/>
      <c r="N120" s="31"/>
      <c r="O120" s="31"/>
      <c r="P120" s="31"/>
      <c r="Q120" s="31"/>
      <c r="R120" s="31"/>
      <c r="S120" s="31"/>
      <c r="T120" s="31"/>
      <c r="U120" s="31"/>
      <c r="V120" s="31"/>
      <c r="W120" s="31"/>
      <c r="X120" s="31"/>
      <c r="Y120" s="31"/>
      <c r="Z120" s="31"/>
    </row>
    <row r="121" ht="13.5" customHeight="1">
      <c r="A121" s="38"/>
      <c r="B121" s="35" t="s">
        <v>36</v>
      </c>
      <c r="C121" s="36">
        <v>45056.0</v>
      </c>
      <c r="D121" s="38"/>
      <c r="E121" s="35" t="s">
        <v>37</v>
      </c>
      <c r="F121" s="37"/>
      <c r="G121" s="31"/>
      <c r="H121" s="31"/>
      <c r="I121" s="31"/>
      <c r="J121" s="31"/>
      <c r="K121" s="31"/>
      <c r="L121" s="31"/>
      <c r="M121" s="31"/>
      <c r="N121" s="31"/>
      <c r="O121" s="31"/>
      <c r="P121" s="31"/>
      <c r="Q121" s="31"/>
      <c r="R121" s="31"/>
      <c r="S121" s="31"/>
      <c r="T121" s="31"/>
      <c r="U121" s="31"/>
      <c r="V121" s="31"/>
      <c r="W121" s="31"/>
      <c r="X121" s="31"/>
      <c r="Y121" s="31"/>
      <c r="Z121" s="31"/>
    </row>
    <row r="122" ht="13.5" customHeight="1">
      <c r="A122" s="39"/>
      <c r="B122" s="35" t="s">
        <v>34</v>
      </c>
      <c r="C122" s="33">
        <f>IF(C121="","",IF(AND(MONTH(C121)&gt;=1,MONTH(C121)&lt;=3),1,IF(AND(MONTH(C121)&gt;=4,MONTH(C121)&lt;=6),2,IF(AND(MONTH(C121)&gt;=7,MONTH(C121)&lt;=9),3,4))))</f>
        <v>2</v>
      </c>
      <c r="D122" s="39"/>
      <c r="E122" s="35" t="s">
        <v>38</v>
      </c>
      <c r="F122" s="37"/>
      <c r="G122" s="31"/>
      <c r="H122" s="31"/>
      <c r="I122" s="31"/>
      <c r="J122" s="31"/>
      <c r="K122" s="31"/>
      <c r="L122" s="31"/>
      <c r="M122" s="31"/>
      <c r="N122" s="31"/>
      <c r="O122" s="31"/>
      <c r="P122" s="31"/>
      <c r="Q122" s="31"/>
      <c r="R122" s="31"/>
      <c r="S122" s="31"/>
      <c r="T122" s="31"/>
      <c r="U122" s="31"/>
      <c r="V122" s="31"/>
      <c r="W122" s="31"/>
      <c r="X122" s="31"/>
      <c r="Y122" s="31"/>
      <c r="Z122" s="31"/>
    </row>
    <row r="123" ht="13.5" customHeight="1">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row>
    <row r="124" ht="13.5" customHeight="1">
      <c r="A124" s="40" t="s">
        <v>39</v>
      </c>
      <c r="B124" s="40" t="s">
        <v>40</v>
      </c>
      <c r="C124" s="40" t="s">
        <v>41</v>
      </c>
      <c r="D124" s="40" t="s">
        <v>42</v>
      </c>
      <c r="E124" s="40" t="s">
        <v>43</v>
      </c>
      <c r="F124" s="40" t="s">
        <v>44</v>
      </c>
      <c r="G124" s="31"/>
      <c r="H124" s="31"/>
      <c r="I124" s="31"/>
      <c r="J124" s="31"/>
      <c r="K124" s="31"/>
      <c r="L124" s="31"/>
      <c r="M124" s="31"/>
      <c r="N124" s="31"/>
      <c r="O124" s="31"/>
      <c r="P124" s="31"/>
      <c r="Q124" s="31"/>
      <c r="R124" s="31"/>
      <c r="S124" s="31"/>
      <c r="T124" s="31"/>
      <c r="U124" s="31"/>
      <c r="V124" s="31"/>
      <c r="W124" s="31"/>
      <c r="X124" s="31"/>
      <c r="Y124" s="31"/>
      <c r="Z124" s="31"/>
    </row>
    <row r="125" ht="13.5" customHeight="1">
      <c r="A125" s="41" t="s">
        <v>96</v>
      </c>
      <c r="B125" s="41" t="str">
        <f t="shared" ref="B125:B126" si="25">IFERROR(INDEX(#REF!,MATCH(INDIRECT(ADDRESS(ROW(),COLUMN()-1,4)),#REF!,0)),IF(INDIRECT(ADDRESS(ROW(),COLUMN()-1,4))="50192701","Comidas combinadas frescas",""))</f>
        <v>Comidas combinadas frescas</v>
      </c>
      <c r="C125" s="42" t="str">
        <f t="shared" ref="C125:C126" si="26">IFERROR(VLOOKUP("UD",'Informacion '!P:Q,2,FALSE),"")</f>
        <v/>
      </c>
      <c r="D125" s="41">
        <v>25000.0</v>
      </c>
      <c r="E125" s="43">
        <v>250.0</v>
      </c>
      <c r="F125" s="43">
        <f t="shared" ref="F125:F126" si="27">INDIRECT(ADDRESS(ROW(),COLUMN()-2,4))*INDIRECT(ADDRESS(ROW(),COLUMN()-1,4))</f>
        <v>6250000</v>
      </c>
      <c r="G125" s="31"/>
      <c r="H125" s="31"/>
      <c r="I125" s="31"/>
      <c r="J125" s="31"/>
      <c r="K125" s="31"/>
      <c r="L125" s="31"/>
      <c r="M125" s="31"/>
      <c r="N125" s="31"/>
      <c r="O125" s="31"/>
      <c r="P125" s="31"/>
      <c r="Q125" s="31"/>
      <c r="R125" s="31"/>
      <c r="S125" s="31"/>
      <c r="T125" s="31"/>
      <c r="U125" s="31"/>
      <c r="V125" s="31"/>
      <c r="W125" s="31"/>
      <c r="X125" s="31"/>
      <c r="Y125" s="31"/>
      <c r="Z125" s="31"/>
    </row>
    <row r="126" ht="13.5" customHeight="1">
      <c r="A126" s="41" t="s">
        <v>96</v>
      </c>
      <c r="B126" s="41" t="str">
        <f t="shared" si="25"/>
        <v>Comidas combinadas frescas</v>
      </c>
      <c r="C126" s="42" t="str">
        <f t="shared" si="26"/>
        <v/>
      </c>
      <c r="D126" s="41">
        <v>1.0</v>
      </c>
      <c r="E126" s="43">
        <v>6750000.0</v>
      </c>
      <c r="F126" s="43">
        <f t="shared" si="27"/>
        <v>6750000</v>
      </c>
      <c r="G126" s="31"/>
      <c r="H126" s="31"/>
      <c r="I126" s="31"/>
      <c r="J126" s="31"/>
      <c r="K126" s="31"/>
      <c r="L126" s="31"/>
      <c r="M126" s="31"/>
      <c r="N126" s="31"/>
      <c r="O126" s="31"/>
      <c r="P126" s="31"/>
      <c r="Q126" s="31"/>
      <c r="R126" s="31"/>
      <c r="S126" s="31"/>
      <c r="T126" s="31"/>
      <c r="U126" s="31"/>
      <c r="V126" s="31"/>
      <c r="W126" s="31"/>
      <c r="X126" s="31"/>
      <c r="Y126" s="31"/>
      <c r="Z126" s="31"/>
    </row>
    <row r="127" ht="13.5" customHeight="1">
      <c r="A127" s="31"/>
      <c r="B127" s="31"/>
      <c r="C127" s="31"/>
      <c r="D127" s="31"/>
      <c r="E127" s="44" t="s">
        <v>63</v>
      </c>
      <c r="F127" s="45">
        <f>SUM(PACC!$F$125:$F$126)</f>
        <v>13000000</v>
      </c>
      <c r="G127" s="31"/>
      <c r="H127" s="31" t="str">
        <f>C118</f>
        <v>Servicios</v>
      </c>
      <c r="I127" s="31" t="str">
        <f>E118</f>
        <v>No</v>
      </c>
      <c r="J127" s="31" t="str">
        <f>D118</f>
        <v>Licitacion Publica</v>
      </c>
      <c r="K127" s="31"/>
      <c r="L127" s="31"/>
      <c r="M127" s="31"/>
      <c r="N127" s="31"/>
      <c r="O127" s="31"/>
      <c r="P127" s="31"/>
      <c r="Q127" s="31"/>
      <c r="R127" s="31"/>
      <c r="S127" s="31"/>
      <c r="T127" s="31"/>
      <c r="U127" s="31"/>
      <c r="V127" s="31"/>
      <c r="W127" s="31"/>
      <c r="X127" s="31"/>
      <c r="Y127" s="31"/>
      <c r="Z127" s="31"/>
    </row>
    <row r="128" ht="13.5" customHeight="1">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row>
    <row r="129" ht="33.75" customHeight="1">
      <c r="A129" s="32" t="s">
        <v>19</v>
      </c>
      <c r="B129" s="32" t="s">
        <v>20</v>
      </c>
      <c r="C129" s="32" t="s">
        <v>21</v>
      </c>
      <c r="D129" s="32" t="s">
        <v>22</v>
      </c>
      <c r="E129" s="32" t="s">
        <v>23</v>
      </c>
      <c r="F129" s="32" t="s">
        <v>24</v>
      </c>
      <c r="G129" s="31"/>
      <c r="H129" s="31"/>
      <c r="I129" s="31"/>
      <c r="J129" s="31"/>
      <c r="K129" s="31"/>
      <c r="L129" s="31"/>
      <c r="M129" s="31"/>
      <c r="N129" s="31"/>
      <c r="O129" s="31"/>
      <c r="P129" s="31"/>
      <c r="Q129" s="31"/>
      <c r="R129" s="31"/>
      <c r="S129" s="31"/>
      <c r="T129" s="31"/>
      <c r="U129" s="31"/>
      <c r="V129" s="31"/>
      <c r="W129" s="31"/>
      <c r="X129" s="31"/>
      <c r="Y129" s="31"/>
      <c r="Z129" s="31"/>
    </row>
    <row r="130" ht="13.5" customHeight="1">
      <c r="A130" s="33" t="s">
        <v>97</v>
      </c>
      <c r="B130" s="33" t="s">
        <v>98</v>
      </c>
      <c r="C130" s="33" t="s">
        <v>27</v>
      </c>
      <c r="D130" s="33" t="s">
        <v>28</v>
      </c>
      <c r="E130" s="33" t="s">
        <v>67</v>
      </c>
      <c r="F130" s="33"/>
      <c r="G130" s="31"/>
      <c r="H130" s="31"/>
      <c r="I130" s="31"/>
      <c r="J130" s="31"/>
      <c r="K130" s="31"/>
      <c r="L130" s="31"/>
      <c r="M130" s="31"/>
      <c r="N130" s="31"/>
      <c r="O130" s="31"/>
      <c r="P130" s="31"/>
      <c r="Q130" s="31"/>
      <c r="R130" s="31"/>
      <c r="S130" s="31"/>
      <c r="T130" s="31"/>
      <c r="U130" s="31"/>
      <c r="V130" s="31"/>
      <c r="W130" s="31"/>
      <c r="X130" s="31"/>
      <c r="Y130" s="31"/>
      <c r="Z130" s="31"/>
    </row>
    <row r="131" ht="13.5" customHeight="1">
      <c r="A131" s="34" t="s">
        <v>30</v>
      </c>
      <c r="B131" s="35" t="s">
        <v>31</v>
      </c>
      <c r="C131" s="36">
        <v>44971.0</v>
      </c>
      <c r="D131" s="34" t="s">
        <v>32</v>
      </c>
      <c r="E131" s="35" t="s">
        <v>33</v>
      </c>
      <c r="F131" s="37"/>
      <c r="G131" s="31"/>
      <c r="H131" s="31"/>
      <c r="I131" s="31"/>
      <c r="J131" s="31"/>
      <c r="K131" s="31"/>
      <c r="L131" s="31"/>
      <c r="M131" s="31"/>
      <c r="N131" s="31"/>
      <c r="O131" s="31"/>
      <c r="P131" s="31"/>
      <c r="Q131" s="31"/>
      <c r="R131" s="31"/>
      <c r="S131" s="31"/>
      <c r="T131" s="31"/>
      <c r="U131" s="31"/>
      <c r="V131" s="31"/>
      <c r="W131" s="31"/>
      <c r="X131" s="31"/>
      <c r="Y131" s="31"/>
      <c r="Z131" s="31"/>
    </row>
    <row r="132" ht="13.5" customHeight="1">
      <c r="A132" s="38"/>
      <c r="B132" s="35" t="s">
        <v>34</v>
      </c>
      <c r="C132" s="33">
        <f>IF(C131="","",IF(AND(MONTH(C131)&gt;=1,MONTH(C131)&lt;=3),1,IF(AND(MONTH(C131)&gt;=4,MONTH(C131)&lt;=6),2,IF(AND(MONTH(C131)&gt;=7,MONTH(C131)&lt;=9),3,4))))</f>
        <v>1</v>
      </c>
      <c r="D132" s="38"/>
      <c r="E132" s="35" t="s">
        <v>35</v>
      </c>
      <c r="F132" s="37"/>
      <c r="G132" s="31"/>
      <c r="H132" s="31"/>
      <c r="I132" s="31"/>
      <c r="J132" s="31"/>
      <c r="K132" s="31"/>
      <c r="L132" s="31"/>
      <c r="M132" s="31"/>
      <c r="N132" s="31"/>
      <c r="O132" s="31"/>
      <c r="P132" s="31"/>
      <c r="Q132" s="31"/>
      <c r="R132" s="31"/>
      <c r="S132" s="31"/>
      <c r="T132" s="31"/>
      <c r="U132" s="31"/>
      <c r="V132" s="31"/>
      <c r="W132" s="31"/>
      <c r="X132" s="31"/>
      <c r="Y132" s="31"/>
      <c r="Z132" s="31"/>
    </row>
    <row r="133" ht="13.5" customHeight="1">
      <c r="A133" s="38"/>
      <c r="B133" s="35" t="s">
        <v>36</v>
      </c>
      <c r="C133" s="36">
        <v>45061.0</v>
      </c>
      <c r="D133" s="38"/>
      <c r="E133" s="35" t="s">
        <v>37</v>
      </c>
      <c r="F133" s="37"/>
      <c r="G133" s="31"/>
      <c r="H133" s="31"/>
      <c r="I133" s="31"/>
      <c r="J133" s="31"/>
      <c r="K133" s="31"/>
      <c r="L133" s="31"/>
      <c r="M133" s="31"/>
      <c r="N133" s="31"/>
      <c r="O133" s="31"/>
      <c r="P133" s="31"/>
      <c r="Q133" s="31"/>
      <c r="R133" s="31"/>
      <c r="S133" s="31"/>
      <c r="T133" s="31"/>
      <c r="U133" s="31"/>
      <c r="V133" s="31"/>
      <c r="W133" s="31"/>
      <c r="X133" s="31"/>
      <c r="Y133" s="31"/>
      <c r="Z133" s="31"/>
    </row>
    <row r="134" ht="13.5" customHeight="1">
      <c r="A134" s="39"/>
      <c r="B134" s="35" t="s">
        <v>34</v>
      </c>
      <c r="C134" s="33">
        <f>IF(C133="","",IF(AND(MONTH(C133)&gt;=1,MONTH(C133)&lt;=3),1,IF(AND(MONTH(C133)&gt;=4,MONTH(C133)&lt;=6),2,IF(AND(MONTH(C133)&gt;=7,MONTH(C133)&lt;=9),3,4))))</f>
        <v>2</v>
      </c>
      <c r="D134" s="39"/>
      <c r="E134" s="35" t="s">
        <v>38</v>
      </c>
      <c r="F134" s="37"/>
      <c r="G134" s="31"/>
      <c r="H134" s="31"/>
      <c r="I134" s="31"/>
      <c r="J134" s="31"/>
      <c r="K134" s="31"/>
      <c r="L134" s="31"/>
      <c r="M134" s="31"/>
      <c r="N134" s="31"/>
      <c r="O134" s="31"/>
      <c r="P134" s="31"/>
      <c r="Q134" s="31"/>
      <c r="R134" s="31"/>
      <c r="S134" s="31"/>
      <c r="T134" s="31"/>
      <c r="U134" s="31"/>
      <c r="V134" s="31"/>
      <c r="W134" s="31"/>
      <c r="X134" s="31"/>
      <c r="Y134" s="31"/>
      <c r="Z134" s="31"/>
    </row>
    <row r="135" ht="13.5" customHeight="1">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row>
    <row r="136" ht="13.5" customHeight="1">
      <c r="A136" s="40" t="s">
        <v>39</v>
      </c>
      <c r="B136" s="40" t="s">
        <v>40</v>
      </c>
      <c r="C136" s="40" t="s">
        <v>41</v>
      </c>
      <c r="D136" s="40" t="s">
        <v>42</v>
      </c>
      <c r="E136" s="40" t="s">
        <v>43</v>
      </c>
      <c r="F136" s="40" t="s">
        <v>44</v>
      </c>
      <c r="G136" s="31"/>
      <c r="H136" s="31"/>
      <c r="I136" s="31"/>
      <c r="J136" s="31"/>
      <c r="K136" s="31"/>
      <c r="L136" s="31"/>
      <c r="M136" s="31"/>
      <c r="N136" s="31"/>
      <c r="O136" s="31"/>
      <c r="P136" s="31"/>
      <c r="Q136" s="31"/>
      <c r="R136" s="31"/>
      <c r="S136" s="31"/>
      <c r="T136" s="31"/>
      <c r="U136" s="31"/>
      <c r="V136" s="31"/>
      <c r="W136" s="31"/>
      <c r="X136" s="31"/>
      <c r="Y136" s="31"/>
      <c r="Z136" s="31"/>
    </row>
    <row r="137" ht="13.5" customHeight="1">
      <c r="A137" s="41" t="s">
        <v>99</v>
      </c>
      <c r="B137" s="41" t="str">
        <f t="shared" ref="B137:B139" si="28">IFERROR(INDEX(#REF!,MATCH(INDIRECT(ADDRESS(ROW(),COLUMN()-1,4)),#REF!,0)),IF(INDIRECT(ADDRESS(ROW(),COLUMN()-1,4))="15101505","Combustible diesel",""))</f>
        <v>Combustible diesel</v>
      </c>
      <c r="C137" s="42" t="str">
        <f t="shared" ref="C137:C142" si="29">IFERROR(VLOOKUP("UD",'Informacion '!P:Q,2,FALSE),"")</f>
        <v/>
      </c>
      <c r="D137" s="41">
        <v>3000.0</v>
      </c>
      <c r="E137" s="43">
        <v>1000.0</v>
      </c>
      <c r="F137" s="43">
        <f t="shared" ref="F137:F142" si="30">INDIRECT(ADDRESS(ROW(),COLUMN()-2,4))*INDIRECT(ADDRESS(ROW(),COLUMN()-1,4))</f>
        <v>3000000</v>
      </c>
      <c r="G137" s="31"/>
      <c r="H137" s="31"/>
      <c r="I137" s="31"/>
      <c r="J137" s="31"/>
      <c r="K137" s="31"/>
      <c r="L137" s="31"/>
      <c r="M137" s="31"/>
      <c r="N137" s="31"/>
      <c r="O137" s="31"/>
      <c r="P137" s="31"/>
      <c r="Q137" s="31"/>
      <c r="R137" s="31"/>
      <c r="S137" s="31"/>
      <c r="T137" s="31"/>
      <c r="U137" s="31"/>
      <c r="V137" s="31"/>
      <c r="W137" s="31"/>
      <c r="X137" s="31"/>
      <c r="Y137" s="31"/>
      <c r="Z137" s="31"/>
    </row>
    <row r="138" ht="13.5" customHeight="1">
      <c r="A138" s="41" t="s">
        <v>99</v>
      </c>
      <c r="B138" s="41" t="str">
        <f t="shared" si="28"/>
        <v>Combustible diesel</v>
      </c>
      <c r="C138" s="42" t="str">
        <f t="shared" si="29"/>
        <v/>
      </c>
      <c r="D138" s="41">
        <v>2100.0</v>
      </c>
      <c r="E138" s="43">
        <v>500.0</v>
      </c>
      <c r="F138" s="43">
        <f t="shared" si="30"/>
        <v>1050000</v>
      </c>
      <c r="G138" s="31"/>
      <c r="H138" s="31"/>
      <c r="I138" s="31"/>
      <c r="J138" s="31"/>
      <c r="K138" s="31"/>
      <c r="L138" s="31"/>
      <c r="M138" s="31"/>
      <c r="N138" s="31"/>
      <c r="O138" s="31"/>
      <c r="P138" s="31"/>
      <c r="Q138" s="31"/>
      <c r="R138" s="31"/>
      <c r="S138" s="31"/>
      <c r="T138" s="31"/>
      <c r="U138" s="31"/>
      <c r="V138" s="31"/>
      <c r="W138" s="31"/>
      <c r="X138" s="31"/>
      <c r="Y138" s="31"/>
      <c r="Z138" s="31"/>
    </row>
    <row r="139" ht="13.5" customHeight="1">
      <c r="A139" s="41" t="s">
        <v>99</v>
      </c>
      <c r="B139" s="41" t="str">
        <f t="shared" si="28"/>
        <v>Combustible diesel</v>
      </c>
      <c r="C139" s="42" t="str">
        <f t="shared" si="29"/>
        <v/>
      </c>
      <c r="D139" s="41">
        <v>3500.0</v>
      </c>
      <c r="E139" s="43">
        <v>100.0</v>
      </c>
      <c r="F139" s="43">
        <f t="shared" si="30"/>
        <v>350000</v>
      </c>
      <c r="G139" s="31"/>
      <c r="H139" s="31"/>
      <c r="I139" s="31"/>
      <c r="J139" s="31"/>
      <c r="K139" s="31"/>
      <c r="L139" s="31"/>
      <c r="M139" s="31"/>
      <c r="N139" s="31"/>
      <c r="O139" s="31"/>
      <c r="P139" s="31"/>
      <c r="Q139" s="31"/>
      <c r="R139" s="31"/>
      <c r="S139" s="31"/>
      <c r="T139" s="31"/>
      <c r="U139" s="31"/>
      <c r="V139" s="31"/>
      <c r="W139" s="31"/>
      <c r="X139" s="31"/>
      <c r="Y139" s="31"/>
      <c r="Z139" s="31"/>
    </row>
    <row r="140" ht="13.5" customHeight="1">
      <c r="A140" s="41" t="s">
        <v>100</v>
      </c>
      <c r="B140" s="41" t="str">
        <f t="shared" ref="B140:B142" si="31">IFERROR(INDEX(#REF!,MATCH(INDIRECT(ADDRESS(ROW(),COLUMN()-1,4)),#REF!,0)),IF(INDIRECT(ADDRESS(ROW(),COLUMN()-1,4))="15101506","Gasolina",""))</f>
        <v>Gasolina</v>
      </c>
      <c r="C140" s="42" t="str">
        <f t="shared" si="29"/>
        <v/>
      </c>
      <c r="D140" s="41">
        <v>6000.0</v>
      </c>
      <c r="E140" s="43">
        <v>1000.0</v>
      </c>
      <c r="F140" s="43">
        <f t="shared" si="30"/>
        <v>6000000</v>
      </c>
      <c r="G140" s="31"/>
      <c r="H140" s="31"/>
      <c r="I140" s="31"/>
      <c r="J140" s="31"/>
      <c r="K140" s="31"/>
      <c r="L140" s="31"/>
      <c r="M140" s="31"/>
      <c r="N140" s="31"/>
      <c r="O140" s="31"/>
      <c r="P140" s="31"/>
      <c r="Q140" s="31"/>
      <c r="R140" s="31"/>
      <c r="S140" s="31"/>
      <c r="T140" s="31"/>
      <c r="U140" s="31"/>
      <c r="V140" s="31"/>
      <c r="W140" s="31"/>
      <c r="X140" s="31"/>
      <c r="Y140" s="31"/>
      <c r="Z140" s="31"/>
    </row>
    <row r="141" ht="13.5" customHeight="1">
      <c r="A141" s="41" t="s">
        <v>100</v>
      </c>
      <c r="B141" s="41" t="str">
        <f t="shared" si="31"/>
        <v>Gasolina</v>
      </c>
      <c r="C141" s="42" t="str">
        <f t="shared" si="29"/>
        <v/>
      </c>
      <c r="D141" s="41">
        <v>5000.0</v>
      </c>
      <c r="E141" s="43">
        <v>500.0</v>
      </c>
      <c r="F141" s="43">
        <f t="shared" si="30"/>
        <v>2500000</v>
      </c>
      <c r="G141" s="31"/>
      <c r="H141" s="31"/>
      <c r="I141" s="31"/>
      <c r="J141" s="31"/>
      <c r="K141" s="31"/>
      <c r="L141" s="31"/>
      <c r="M141" s="31"/>
      <c r="N141" s="31"/>
      <c r="O141" s="31"/>
      <c r="P141" s="31"/>
      <c r="Q141" s="31"/>
      <c r="R141" s="31"/>
      <c r="S141" s="31"/>
      <c r="T141" s="31"/>
      <c r="U141" s="31"/>
      <c r="V141" s="31"/>
      <c r="W141" s="31"/>
      <c r="X141" s="31"/>
      <c r="Y141" s="31"/>
      <c r="Z141" s="31"/>
    </row>
    <row r="142" ht="13.5" customHeight="1">
      <c r="A142" s="41" t="s">
        <v>100</v>
      </c>
      <c r="B142" s="41" t="str">
        <f t="shared" si="31"/>
        <v>Gasolina</v>
      </c>
      <c r="C142" s="42" t="str">
        <f t="shared" si="29"/>
        <v/>
      </c>
      <c r="D142" s="41">
        <v>2242.0</v>
      </c>
      <c r="E142" s="43">
        <v>100.0</v>
      </c>
      <c r="F142" s="43">
        <f t="shared" si="30"/>
        <v>224200</v>
      </c>
      <c r="G142" s="31"/>
      <c r="H142" s="31"/>
      <c r="I142" s="31"/>
      <c r="J142" s="31"/>
      <c r="K142" s="31"/>
      <c r="L142" s="31"/>
      <c r="M142" s="31"/>
      <c r="N142" s="31"/>
      <c r="O142" s="31"/>
      <c r="P142" s="31"/>
      <c r="Q142" s="31"/>
      <c r="R142" s="31"/>
      <c r="S142" s="31"/>
      <c r="T142" s="31"/>
      <c r="U142" s="31"/>
      <c r="V142" s="31"/>
      <c r="W142" s="31"/>
      <c r="X142" s="31"/>
      <c r="Y142" s="31"/>
      <c r="Z142" s="31"/>
    </row>
    <row r="143" ht="13.5" customHeight="1">
      <c r="A143" s="31"/>
      <c r="B143" s="31"/>
      <c r="C143" s="31"/>
      <c r="D143" s="31"/>
      <c r="E143" s="44" t="s">
        <v>63</v>
      </c>
      <c r="F143" s="45">
        <f>SUM(PACC!$F$137:$F$142)</f>
        <v>13124200</v>
      </c>
      <c r="G143" s="31"/>
      <c r="H143" s="31" t="str">
        <f>C130</f>
        <v>Bienes</v>
      </c>
      <c r="I143" s="31" t="str">
        <f>E130</f>
        <v>No</v>
      </c>
      <c r="J143" s="31" t="str">
        <f>D130</f>
        <v>Licitacion Publica Internacional</v>
      </c>
      <c r="K143" s="31"/>
      <c r="L143" s="31"/>
      <c r="M143" s="31"/>
      <c r="N143" s="31"/>
      <c r="O143" s="31"/>
      <c r="P143" s="31"/>
      <c r="Q143" s="31"/>
      <c r="R143" s="31"/>
      <c r="S143" s="31"/>
      <c r="T143" s="31"/>
      <c r="U143" s="31"/>
      <c r="V143" s="31"/>
      <c r="W143" s="31"/>
      <c r="X143" s="31"/>
      <c r="Y143" s="31"/>
      <c r="Z143" s="31"/>
    </row>
    <row r="144" ht="13.5" customHeight="1">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row>
    <row r="145" ht="33.75" customHeight="1">
      <c r="A145" s="32" t="s">
        <v>19</v>
      </c>
      <c r="B145" s="32" t="s">
        <v>20</v>
      </c>
      <c r="C145" s="32" t="s">
        <v>21</v>
      </c>
      <c r="D145" s="32" t="s">
        <v>22</v>
      </c>
      <c r="E145" s="32" t="s">
        <v>23</v>
      </c>
      <c r="F145" s="32" t="s">
        <v>24</v>
      </c>
      <c r="G145" s="31"/>
      <c r="H145" s="31"/>
      <c r="I145" s="31"/>
      <c r="J145" s="31"/>
      <c r="K145" s="31"/>
      <c r="L145" s="31"/>
      <c r="M145" s="31"/>
      <c r="N145" s="31"/>
      <c r="O145" s="31"/>
      <c r="P145" s="31"/>
      <c r="Q145" s="31"/>
      <c r="R145" s="31"/>
      <c r="S145" s="31"/>
      <c r="T145" s="31"/>
      <c r="U145" s="31"/>
      <c r="V145" s="31"/>
      <c r="W145" s="31"/>
      <c r="X145" s="31"/>
      <c r="Y145" s="31"/>
      <c r="Z145" s="31"/>
    </row>
    <row r="146" ht="13.5" customHeight="1">
      <c r="A146" s="33" t="s">
        <v>101</v>
      </c>
      <c r="B146" s="33" t="s">
        <v>102</v>
      </c>
      <c r="C146" s="33" t="s">
        <v>95</v>
      </c>
      <c r="D146" s="33" t="s">
        <v>103</v>
      </c>
      <c r="E146" s="33" t="s">
        <v>67</v>
      </c>
      <c r="F146" s="33"/>
      <c r="G146" s="31"/>
      <c r="H146" s="31"/>
      <c r="I146" s="31"/>
      <c r="J146" s="31"/>
      <c r="K146" s="31"/>
      <c r="L146" s="31"/>
      <c r="M146" s="31"/>
      <c r="N146" s="31"/>
      <c r="O146" s="31"/>
      <c r="P146" s="31"/>
      <c r="Q146" s="31"/>
      <c r="R146" s="31"/>
      <c r="S146" s="31"/>
      <c r="T146" s="31"/>
      <c r="U146" s="31"/>
      <c r="V146" s="31"/>
      <c r="W146" s="31"/>
      <c r="X146" s="31"/>
      <c r="Y146" s="31"/>
      <c r="Z146" s="31"/>
    </row>
    <row r="147" ht="13.5" customHeight="1">
      <c r="A147" s="34" t="s">
        <v>30</v>
      </c>
      <c r="B147" s="35" t="s">
        <v>31</v>
      </c>
      <c r="C147" s="36">
        <v>44971.0</v>
      </c>
      <c r="D147" s="34" t="s">
        <v>32</v>
      </c>
      <c r="E147" s="35" t="s">
        <v>33</v>
      </c>
      <c r="F147" s="37"/>
      <c r="G147" s="31"/>
      <c r="H147" s="31"/>
      <c r="I147" s="31"/>
      <c r="J147" s="31"/>
      <c r="K147" s="31"/>
      <c r="L147" s="31"/>
      <c r="M147" s="31"/>
      <c r="N147" s="31"/>
      <c r="O147" s="31"/>
      <c r="P147" s="31"/>
      <c r="Q147" s="31"/>
      <c r="R147" s="31"/>
      <c r="S147" s="31"/>
      <c r="T147" s="31"/>
      <c r="U147" s="31"/>
      <c r="V147" s="31"/>
      <c r="W147" s="31"/>
      <c r="X147" s="31"/>
      <c r="Y147" s="31"/>
      <c r="Z147" s="31"/>
    </row>
    <row r="148" ht="13.5" customHeight="1">
      <c r="A148" s="38"/>
      <c r="B148" s="35" t="s">
        <v>34</v>
      </c>
      <c r="C148" s="33">
        <f>IF(C147="","",IF(AND(MONTH(C147)&gt;=1,MONTH(C147)&lt;=3),1,IF(AND(MONTH(C147)&gt;=4,MONTH(C147)&lt;=6),2,IF(AND(MONTH(C147)&gt;=7,MONTH(C147)&lt;=9),3,4))))</f>
        <v>1</v>
      </c>
      <c r="D148" s="38"/>
      <c r="E148" s="35" t="s">
        <v>35</v>
      </c>
      <c r="F148" s="37"/>
      <c r="G148" s="31"/>
      <c r="H148" s="31"/>
      <c r="I148" s="31"/>
      <c r="J148" s="31"/>
      <c r="K148" s="31"/>
      <c r="L148" s="31"/>
      <c r="M148" s="31"/>
      <c r="N148" s="31"/>
      <c r="O148" s="31"/>
      <c r="P148" s="31"/>
      <c r="Q148" s="31"/>
      <c r="R148" s="31"/>
      <c r="S148" s="31"/>
      <c r="T148" s="31"/>
      <c r="U148" s="31"/>
      <c r="V148" s="31"/>
      <c r="W148" s="31"/>
      <c r="X148" s="31"/>
      <c r="Y148" s="31"/>
      <c r="Z148" s="31"/>
    </row>
    <row r="149" ht="13.5" customHeight="1">
      <c r="A149" s="38"/>
      <c r="B149" s="35" t="s">
        <v>36</v>
      </c>
      <c r="C149" s="36">
        <v>45015.0</v>
      </c>
      <c r="D149" s="38"/>
      <c r="E149" s="35" t="s">
        <v>37</v>
      </c>
      <c r="F149" s="37"/>
      <c r="G149" s="31"/>
      <c r="H149" s="31"/>
      <c r="I149" s="31"/>
      <c r="J149" s="31"/>
      <c r="K149" s="31"/>
      <c r="L149" s="31"/>
      <c r="M149" s="31"/>
      <c r="N149" s="31"/>
      <c r="O149" s="31"/>
      <c r="P149" s="31"/>
      <c r="Q149" s="31"/>
      <c r="R149" s="31"/>
      <c r="S149" s="31"/>
      <c r="T149" s="31"/>
      <c r="U149" s="31"/>
      <c r="V149" s="31"/>
      <c r="W149" s="31"/>
      <c r="X149" s="31"/>
      <c r="Y149" s="31"/>
      <c r="Z149" s="31"/>
    </row>
    <row r="150" ht="13.5" customHeight="1">
      <c r="A150" s="39"/>
      <c r="B150" s="35" t="s">
        <v>34</v>
      </c>
      <c r="C150" s="33">
        <f>IF(C149="","",IF(AND(MONTH(C149)&gt;=1,MONTH(C149)&lt;=3),1,IF(AND(MONTH(C149)&gt;=4,MONTH(C149)&lt;=6),2,IF(AND(MONTH(C149)&gt;=7,MONTH(C149)&lt;=9),3,4))))</f>
        <v>1</v>
      </c>
      <c r="D150" s="39"/>
      <c r="E150" s="35" t="s">
        <v>38</v>
      </c>
      <c r="F150" s="37"/>
      <c r="G150" s="31"/>
      <c r="H150" s="31"/>
      <c r="I150" s="31"/>
      <c r="J150" s="31"/>
      <c r="K150" s="31"/>
      <c r="L150" s="31"/>
      <c r="M150" s="31"/>
      <c r="N150" s="31"/>
      <c r="O150" s="31"/>
      <c r="P150" s="31"/>
      <c r="Q150" s="31"/>
      <c r="R150" s="31"/>
      <c r="S150" s="31"/>
      <c r="T150" s="31"/>
      <c r="U150" s="31"/>
      <c r="V150" s="31"/>
      <c r="W150" s="31"/>
      <c r="X150" s="31"/>
      <c r="Y150" s="31"/>
      <c r="Z150" s="31"/>
    </row>
    <row r="151" ht="13.5" customHeight="1">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row>
    <row r="152" ht="13.5" customHeight="1">
      <c r="A152" s="40" t="s">
        <v>39</v>
      </c>
      <c r="B152" s="40" t="s">
        <v>40</v>
      </c>
      <c r="C152" s="40" t="s">
        <v>41</v>
      </c>
      <c r="D152" s="40" t="s">
        <v>42</v>
      </c>
      <c r="E152" s="40" t="s">
        <v>43</v>
      </c>
      <c r="F152" s="40" t="s">
        <v>44</v>
      </c>
      <c r="G152" s="31"/>
      <c r="H152" s="31"/>
      <c r="I152" s="31"/>
      <c r="J152" s="31"/>
      <c r="K152" s="31"/>
      <c r="L152" s="31"/>
      <c r="M152" s="31"/>
      <c r="N152" s="31"/>
      <c r="O152" s="31"/>
      <c r="P152" s="31"/>
      <c r="Q152" s="31"/>
      <c r="R152" s="31"/>
      <c r="S152" s="31"/>
      <c r="T152" s="31"/>
      <c r="U152" s="31"/>
      <c r="V152" s="31"/>
      <c r="W152" s="31"/>
      <c r="X152" s="31"/>
      <c r="Y152" s="31"/>
      <c r="Z152" s="31"/>
    </row>
    <row r="153" ht="13.5" customHeight="1">
      <c r="A153" s="41" t="s">
        <v>104</v>
      </c>
      <c r="B153" s="41" t="str">
        <f t="shared" ref="B153:B158" si="32">IFERROR(INDEX(#REF!,MATCH(INDIRECT(ADDRESS(ROW(),COLUMN()-1,4)),#REF!,0)),IF(INDIRECT(ADDRESS(ROW(),COLUMN()-1,4))="43231512","Software de manejo de licencias",""))</f>
        <v>Software de manejo de licencias</v>
      </c>
      <c r="C153" s="42" t="str">
        <f t="shared" ref="C153:C158" si="33">IFERROR(VLOOKUP("UD",'Informacion '!P:Q,2,FALSE),"")</f>
        <v/>
      </c>
      <c r="D153" s="41">
        <v>1.0</v>
      </c>
      <c r="E153" s="43">
        <v>50000.0</v>
      </c>
      <c r="F153" s="43">
        <f t="shared" ref="F153:F158" si="34">INDIRECT(ADDRESS(ROW(),COLUMN()-2,4))*INDIRECT(ADDRESS(ROW(),COLUMN()-1,4))</f>
        <v>50000</v>
      </c>
      <c r="G153" s="31"/>
      <c r="H153" s="31"/>
      <c r="I153" s="31"/>
      <c r="J153" s="31"/>
      <c r="K153" s="31"/>
      <c r="L153" s="31"/>
      <c r="M153" s="31"/>
      <c r="N153" s="31"/>
      <c r="O153" s="31"/>
      <c r="P153" s="31"/>
      <c r="Q153" s="31"/>
      <c r="R153" s="31"/>
      <c r="S153" s="31"/>
      <c r="T153" s="31"/>
      <c r="U153" s="31"/>
      <c r="V153" s="31"/>
      <c r="W153" s="31"/>
      <c r="X153" s="31"/>
      <c r="Y153" s="31"/>
      <c r="Z153" s="31"/>
    </row>
    <row r="154" ht="13.5" customHeight="1">
      <c r="A154" s="41" t="s">
        <v>104</v>
      </c>
      <c r="B154" s="41" t="str">
        <f t="shared" si="32"/>
        <v>Software de manejo de licencias</v>
      </c>
      <c r="C154" s="42" t="str">
        <f t="shared" si="33"/>
        <v/>
      </c>
      <c r="D154" s="41">
        <v>30.0</v>
      </c>
      <c r="E154" s="43">
        <v>22000.0</v>
      </c>
      <c r="F154" s="43">
        <f t="shared" si="34"/>
        <v>660000</v>
      </c>
      <c r="G154" s="31"/>
      <c r="H154" s="31"/>
      <c r="I154" s="31"/>
      <c r="J154" s="31"/>
      <c r="K154" s="31"/>
      <c r="L154" s="31"/>
      <c r="M154" s="31"/>
      <c r="N154" s="31"/>
      <c r="O154" s="31"/>
      <c r="P154" s="31"/>
      <c r="Q154" s="31"/>
      <c r="R154" s="31"/>
      <c r="S154" s="31"/>
      <c r="T154" s="31"/>
      <c r="U154" s="31"/>
      <c r="V154" s="31"/>
      <c r="W154" s="31"/>
      <c r="X154" s="31"/>
      <c r="Y154" s="31"/>
      <c r="Z154" s="31"/>
    </row>
    <row r="155" ht="13.5" customHeight="1">
      <c r="A155" s="41" t="s">
        <v>104</v>
      </c>
      <c r="B155" s="41" t="str">
        <f t="shared" si="32"/>
        <v>Software de manejo de licencias</v>
      </c>
      <c r="C155" s="42" t="str">
        <f t="shared" si="33"/>
        <v/>
      </c>
      <c r="D155" s="41">
        <v>200.0</v>
      </c>
      <c r="E155" s="43">
        <v>9000.0</v>
      </c>
      <c r="F155" s="43">
        <f t="shared" si="34"/>
        <v>1800000</v>
      </c>
      <c r="G155" s="31"/>
      <c r="H155" s="31"/>
      <c r="I155" s="31"/>
      <c r="J155" s="31"/>
      <c r="K155" s="31"/>
      <c r="L155" s="31"/>
      <c r="M155" s="31"/>
      <c r="N155" s="31"/>
      <c r="O155" s="31"/>
      <c r="P155" s="31"/>
      <c r="Q155" s="31"/>
      <c r="R155" s="31"/>
      <c r="S155" s="31"/>
      <c r="T155" s="31"/>
      <c r="U155" s="31"/>
      <c r="V155" s="31"/>
      <c r="W155" s="31"/>
      <c r="X155" s="31"/>
      <c r="Y155" s="31"/>
      <c r="Z155" s="31"/>
    </row>
    <row r="156" ht="13.5" customHeight="1">
      <c r="A156" s="41" t="s">
        <v>104</v>
      </c>
      <c r="B156" s="41" t="str">
        <f t="shared" si="32"/>
        <v>Software de manejo de licencias</v>
      </c>
      <c r="C156" s="42" t="str">
        <f t="shared" si="33"/>
        <v/>
      </c>
      <c r="D156" s="41">
        <v>1.0</v>
      </c>
      <c r="E156" s="43">
        <v>30000.0</v>
      </c>
      <c r="F156" s="43">
        <f t="shared" si="34"/>
        <v>30000</v>
      </c>
      <c r="G156" s="31"/>
      <c r="H156" s="31"/>
      <c r="I156" s="31"/>
      <c r="J156" s="31"/>
      <c r="K156" s="31"/>
      <c r="L156" s="31"/>
      <c r="M156" s="31"/>
      <c r="N156" s="31"/>
      <c r="O156" s="31"/>
      <c r="P156" s="31"/>
      <c r="Q156" s="31"/>
      <c r="R156" s="31"/>
      <c r="S156" s="31"/>
      <c r="T156" s="31"/>
      <c r="U156" s="31"/>
      <c r="V156" s="31"/>
      <c r="W156" s="31"/>
      <c r="X156" s="31"/>
      <c r="Y156" s="31"/>
      <c r="Z156" s="31"/>
    </row>
    <row r="157" ht="13.5" customHeight="1">
      <c r="A157" s="41" t="s">
        <v>104</v>
      </c>
      <c r="B157" s="41" t="str">
        <f t="shared" si="32"/>
        <v>Software de manejo de licencias</v>
      </c>
      <c r="C157" s="42" t="str">
        <f t="shared" si="33"/>
        <v/>
      </c>
      <c r="D157" s="41">
        <v>1.0</v>
      </c>
      <c r="E157" s="43">
        <v>460000.0</v>
      </c>
      <c r="F157" s="43">
        <f t="shared" si="34"/>
        <v>460000</v>
      </c>
      <c r="G157" s="31"/>
      <c r="H157" s="31"/>
      <c r="I157" s="31"/>
      <c r="J157" s="31"/>
      <c r="K157" s="31"/>
      <c r="L157" s="31"/>
      <c r="M157" s="31"/>
      <c r="N157" s="31"/>
      <c r="O157" s="31"/>
      <c r="P157" s="31"/>
      <c r="Q157" s="31"/>
      <c r="R157" s="31"/>
      <c r="S157" s="31"/>
      <c r="T157" s="31"/>
      <c r="U157" s="31"/>
      <c r="V157" s="31"/>
      <c r="W157" s="31"/>
      <c r="X157" s="31"/>
      <c r="Y157" s="31"/>
      <c r="Z157" s="31"/>
    </row>
    <row r="158" ht="13.5" customHeight="1">
      <c r="A158" s="41" t="s">
        <v>104</v>
      </c>
      <c r="B158" s="41" t="str">
        <f t="shared" si="32"/>
        <v>Software de manejo de licencias</v>
      </c>
      <c r="C158" s="42" t="str">
        <f t="shared" si="33"/>
        <v/>
      </c>
      <c r="D158" s="41">
        <v>2.0</v>
      </c>
      <c r="E158" s="43">
        <v>250000.0</v>
      </c>
      <c r="F158" s="43">
        <f t="shared" si="34"/>
        <v>500000</v>
      </c>
      <c r="G158" s="31"/>
      <c r="H158" s="31"/>
      <c r="I158" s="31"/>
      <c r="J158" s="31"/>
      <c r="K158" s="31"/>
      <c r="L158" s="31"/>
      <c r="M158" s="31"/>
      <c r="N158" s="31"/>
      <c r="O158" s="31"/>
      <c r="P158" s="31"/>
      <c r="Q158" s="31"/>
      <c r="R158" s="31"/>
      <c r="S158" s="31"/>
      <c r="T158" s="31"/>
      <c r="U158" s="31"/>
      <c r="V158" s="31"/>
      <c r="W158" s="31"/>
      <c r="X158" s="31"/>
      <c r="Y158" s="31"/>
      <c r="Z158" s="31"/>
    </row>
    <row r="159" ht="13.5" customHeight="1">
      <c r="A159" s="31"/>
      <c r="B159" s="31"/>
      <c r="C159" s="31"/>
      <c r="D159" s="31"/>
      <c r="E159" s="44" t="s">
        <v>63</v>
      </c>
      <c r="F159" s="45">
        <f>SUM(PACC!$F$153:$F$158)</f>
        <v>3500000</v>
      </c>
      <c r="G159" s="31"/>
      <c r="H159" s="31" t="str">
        <f>C146</f>
        <v>Servicios</v>
      </c>
      <c r="I159" s="31" t="str">
        <f>E146</f>
        <v>No</v>
      </c>
      <c r="J159" s="31" t="str">
        <f>D146</f>
        <v>Comparacion de Precios</v>
      </c>
      <c r="K159" s="31"/>
      <c r="L159" s="31"/>
      <c r="M159" s="31"/>
      <c r="N159" s="31"/>
      <c r="O159" s="31"/>
      <c r="P159" s="31"/>
      <c r="Q159" s="31"/>
      <c r="R159" s="31"/>
      <c r="S159" s="31"/>
      <c r="T159" s="31"/>
      <c r="U159" s="31"/>
      <c r="V159" s="31"/>
      <c r="W159" s="31"/>
      <c r="X159" s="31"/>
      <c r="Y159" s="31"/>
      <c r="Z159" s="31"/>
    </row>
    <row r="160" ht="13.5" customHeight="1">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row>
    <row r="161" ht="33.75" customHeight="1">
      <c r="A161" s="32" t="s">
        <v>19</v>
      </c>
      <c r="B161" s="32" t="s">
        <v>20</v>
      </c>
      <c r="C161" s="32" t="s">
        <v>21</v>
      </c>
      <c r="D161" s="32" t="s">
        <v>22</v>
      </c>
      <c r="E161" s="32" t="s">
        <v>23</v>
      </c>
      <c r="F161" s="32" t="s">
        <v>24</v>
      </c>
      <c r="G161" s="31"/>
      <c r="H161" s="31"/>
      <c r="I161" s="31"/>
      <c r="J161" s="31"/>
      <c r="K161" s="31"/>
      <c r="L161" s="31"/>
      <c r="M161" s="31"/>
      <c r="N161" s="31"/>
      <c r="O161" s="31"/>
      <c r="P161" s="31"/>
      <c r="Q161" s="31"/>
      <c r="R161" s="31"/>
      <c r="S161" s="31"/>
      <c r="T161" s="31"/>
      <c r="U161" s="31"/>
      <c r="V161" s="31"/>
      <c r="W161" s="31"/>
      <c r="X161" s="31"/>
      <c r="Y161" s="31"/>
      <c r="Z161" s="31"/>
    </row>
    <row r="162" ht="13.5" customHeight="1">
      <c r="A162" s="33" t="s">
        <v>105</v>
      </c>
      <c r="B162" s="33" t="s">
        <v>106</v>
      </c>
      <c r="C162" s="33" t="s">
        <v>95</v>
      </c>
      <c r="D162" s="33" t="s">
        <v>103</v>
      </c>
      <c r="E162" s="33" t="s">
        <v>67</v>
      </c>
      <c r="F162" s="33"/>
      <c r="G162" s="31"/>
      <c r="H162" s="31"/>
      <c r="I162" s="31"/>
      <c r="J162" s="31"/>
      <c r="K162" s="31"/>
      <c r="L162" s="31"/>
      <c r="M162" s="31"/>
      <c r="N162" s="31"/>
      <c r="O162" s="31"/>
      <c r="P162" s="31"/>
      <c r="Q162" s="31"/>
      <c r="R162" s="31"/>
      <c r="S162" s="31"/>
      <c r="T162" s="31"/>
      <c r="U162" s="31"/>
      <c r="V162" s="31"/>
      <c r="W162" s="31"/>
      <c r="X162" s="31"/>
      <c r="Y162" s="31"/>
      <c r="Z162" s="31"/>
    </row>
    <row r="163" ht="13.5" customHeight="1">
      <c r="A163" s="34" t="s">
        <v>30</v>
      </c>
      <c r="B163" s="35" t="s">
        <v>31</v>
      </c>
      <c r="C163" s="36">
        <v>44959.0</v>
      </c>
      <c r="D163" s="34" t="s">
        <v>32</v>
      </c>
      <c r="E163" s="35" t="s">
        <v>33</v>
      </c>
      <c r="F163" s="37"/>
      <c r="G163" s="31"/>
      <c r="H163" s="31"/>
      <c r="I163" s="31"/>
      <c r="J163" s="31"/>
      <c r="K163" s="31"/>
      <c r="L163" s="31"/>
      <c r="M163" s="31"/>
      <c r="N163" s="31"/>
      <c r="O163" s="31"/>
      <c r="P163" s="31"/>
      <c r="Q163" s="31"/>
      <c r="R163" s="31"/>
      <c r="S163" s="31"/>
      <c r="T163" s="31"/>
      <c r="U163" s="31"/>
      <c r="V163" s="31"/>
      <c r="W163" s="31"/>
      <c r="X163" s="31"/>
      <c r="Y163" s="31"/>
      <c r="Z163" s="31"/>
    </row>
    <row r="164" ht="13.5" customHeight="1">
      <c r="A164" s="38"/>
      <c r="B164" s="35" t="s">
        <v>34</v>
      </c>
      <c r="C164" s="33">
        <f>IF(C163="","",IF(AND(MONTH(C163)&gt;=1,MONTH(C163)&lt;=3),1,IF(AND(MONTH(C163)&gt;=4,MONTH(C163)&lt;=6),2,IF(AND(MONTH(C163)&gt;=7,MONTH(C163)&lt;=9),3,4))))</f>
        <v>1</v>
      </c>
      <c r="D164" s="38"/>
      <c r="E164" s="35" t="s">
        <v>35</v>
      </c>
      <c r="F164" s="37"/>
      <c r="G164" s="31"/>
      <c r="H164" s="31"/>
      <c r="I164" s="31"/>
      <c r="J164" s="31"/>
      <c r="K164" s="31"/>
      <c r="L164" s="31"/>
      <c r="M164" s="31"/>
      <c r="N164" s="31"/>
      <c r="O164" s="31"/>
      <c r="P164" s="31"/>
      <c r="Q164" s="31"/>
      <c r="R164" s="31"/>
      <c r="S164" s="31"/>
      <c r="T164" s="31"/>
      <c r="U164" s="31"/>
      <c r="V164" s="31"/>
      <c r="W164" s="31"/>
      <c r="X164" s="31"/>
      <c r="Y164" s="31"/>
      <c r="Z164" s="31"/>
    </row>
    <row r="165" ht="13.5" customHeight="1">
      <c r="A165" s="38"/>
      <c r="B165" s="35" t="s">
        <v>36</v>
      </c>
      <c r="C165" s="36">
        <v>44991.0</v>
      </c>
      <c r="D165" s="38"/>
      <c r="E165" s="35" t="s">
        <v>37</v>
      </c>
      <c r="F165" s="37"/>
      <c r="G165" s="31"/>
      <c r="H165" s="31"/>
      <c r="I165" s="31"/>
      <c r="J165" s="31"/>
      <c r="K165" s="31"/>
      <c r="L165" s="31"/>
      <c r="M165" s="31"/>
      <c r="N165" s="31"/>
      <c r="O165" s="31"/>
      <c r="P165" s="31"/>
      <c r="Q165" s="31"/>
      <c r="R165" s="31"/>
      <c r="S165" s="31"/>
      <c r="T165" s="31"/>
      <c r="U165" s="31"/>
      <c r="V165" s="31"/>
      <c r="W165" s="31"/>
      <c r="X165" s="31"/>
      <c r="Y165" s="31"/>
      <c r="Z165" s="31"/>
    </row>
    <row r="166" ht="13.5" customHeight="1">
      <c r="A166" s="39"/>
      <c r="B166" s="35" t="s">
        <v>34</v>
      </c>
      <c r="C166" s="33">
        <f>IF(C165="","",IF(AND(MONTH(C165)&gt;=1,MONTH(C165)&lt;=3),1,IF(AND(MONTH(C165)&gt;=4,MONTH(C165)&lt;=6),2,IF(AND(MONTH(C165)&gt;=7,MONTH(C165)&lt;=9),3,4))))</f>
        <v>1</v>
      </c>
      <c r="D166" s="39"/>
      <c r="E166" s="35" t="s">
        <v>38</v>
      </c>
      <c r="F166" s="37"/>
      <c r="G166" s="31"/>
      <c r="H166" s="31"/>
      <c r="I166" s="31"/>
      <c r="J166" s="31"/>
      <c r="K166" s="31"/>
      <c r="L166" s="31"/>
      <c r="M166" s="31"/>
      <c r="N166" s="31"/>
      <c r="O166" s="31"/>
      <c r="P166" s="31"/>
      <c r="Q166" s="31"/>
      <c r="R166" s="31"/>
      <c r="S166" s="31"/>
      <c r="T166" s="31"/>
      <c r="U166" s="31"/>
      <c r="V166" s="31"/>
      <c r="W166" s="31"/>
      <c r="X166" s="31"/>
      <c r="Y166" s="31"/>
      <c r="Z166" s="31"/>
    </row>
    <row r="167" ht="13.5" customHeight="1">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row>
    <row r="168" ht="13.5" customHeight="1">
      <c r="A168" s="40" t="s">
        <v>39</v>
      </c>
      <c r="B168" s="40" t="s">
        <v>40</v>
      </c>
      <c r="C168" s="40" t="s">
        <v>41</v>
      </c>
      <c r="D168" s="40" t="s">
        <v>42</v>
      </c>
      <c r="E168" s="40" t="s">
        <v>43</v>
      </c>
      <c r="F168" s="40" t="s">
        <v>44</v>
      </c>
      <c r="G168" s="31"/>
      <c r="H168" s="31"/>
      <c r="I168" s="31"/>
      <c r="J168" s="31"/>
      <c r="K168" s="31"/>
      <c r="L168" s="31"/>
      <c r="M168" s="31"/>
      <c r="N168" s="31"/>
      <c r="O168" s="31"/>
      <c r="P168" s="31"/>
      <c r="Q168" s="31"/>
      <c r="R168" s="31"/>
      <c r="S168" s="31"/>
      <c r="T168" s="31"/>
      <c r="U168" s="31"/>
      <c r="V168" s="31"/>
      <c r="W168" s="31"/>
      <c r="X168" s="31"/>
      <c r="Y168" s="31"/>
      <c r="Z168" s="31"/>
    </row>
    <row r="169" ht="13.5" customHeight="1">
      <c r="A169" s="41" t="s">
        <v>107</v>
      </c>
      <c r="B169" s="41" t="str">
        <f t="array" ref="B169">IFERROR(INDEX(#REF!,MATCH(INDIRECT(ADDRESS(ROW(),COLUMN()-1,4)),#REF!,0)),IF(INDIRECT(ADDRESS(ROW(),COLUMN()-1,4))="80141607","Gestión de eventos",""))</f>
        <v>Gestión de eventos</v>
      </c>
      <c r="C169" s="42" t="str">
        <f>IFERROR(VLOOKUP("UD",'Informacion '!P:Q,2,FALSE),"")</f>
        <v/>
      </c>
      <c r="D169" s="41">
        <v>1.0</v>
      </c>
      <c r="E169" s="43">
        <v>3000000.0</v>
      </c>
      <c r="F169" s="43">
        <f>INDIRECT(ADDRESS(ROW(),COLUMN()-2,4))*INDIRECT(ADDRESS(ROW(),COLUMN()-1,4))</f>
        <v>3000000</v>
      </c>
      <c r="G169" s="31"/>
      <c r="H169" s="31"/>
      <c r="I169" s="31"/>
      <c r="J169" s="31"/>
      <c r="K169" s="31"/>
      <c r="L169" s="31"/>
      <c r="M169" s="31"/>
      <c r="N169" s="31"/>
      <c r="O169" s="31"/>
      <c r="P169" s="31"/>
      <c r="Q169" s="31"/>
      <c r="R169" s="31"/>
      <c r="S169" s="31"/>
      <c r="T169" s="31"/>
      <c r="U169" s="31"/>
      <c r="V169" s="31"/>
      <c r="W169" s="31"/>
      <c r="X169" s="31"/>
      <c r="Y169" s="31"/>
      <c r="Z169" s="31"/>
    </row>
    <row r="170" ht="13.5" customHeight="1">
      <c r="A170" s="31"/>
      <c r="B170" s="31"/>
      <c r="C170" s="31"/>
      <c r="D170" s="31"/>
      <c r="E170" s="44" t="s">
        <v>63</v>
      </c>
      <c r="F170" s="45">
        <f>SUM(PACC!$F$169)</f>
        <v>3000000</v>
      </c>
      <c r="G170" s="31"/>
      <c r="H170" s="31" t="str">
        <f>C162</f>
        <v>Servicios</v>
      </c>
      <c r="I170" s="31" t="str">
        <f>E162</f>
        <v>No</v>
      </c>
      <c r="J170" s="31" t="str">
        <f>D162</f>
        <v>Comparacion de Precios</v>
      </c>
      <c r="K170" s="31"/>
      <c r="L170" s="31"/>
      <c r="M170" s="31"/>
      <c r="N170" s="31"/>
      <c r="O170" s="31"/>
      <c r="P170" s="31"/>
      <c r="Q170" s="31"/>
      <c r="R170" s="31"/>
      <c r="S170" s="31"/>
      <c r="T170" s="31"/>
      <c r="U170" s="31"/>
      <c r="V170" s="31"/>
      <c r="W170" s="31"/>
      <c r="X170" s="31"/>
      <c r="Y170" s="31"/>
      <c r="Z170" s="31"/>
    </row>
    <row r="171" ht="13.5" customHeight="1">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row>
    <row r="172" ht="33.75" customHeight="1">
      <c r="A172" s="32" t="s">
        <v>19</v>
      </c>
      <c r="B172" s="32" t="s">
        <v>20</v>
      </c>
      <c r="C172" s="32" t="s">
        <v>21</v>
      </c>
      <c r="D172" s="32" t="s">
        <v>22</v>
      </c>
      <c r="E172" s="32" t="s">
        <v>23</v>
      </c>
      <c r="F172" s="32" t="s">
        <v>24</v>
      </c>
      <c r="G172" s="31"/>
      <c r="H172" s="31"/>
      <c r="I172" s="31"/>
      <c r="J172" s="31"/>
      <c r="K172" s="31"/>
      <c r="L172" s="31"/>
      <c r="M172" s="31"/>
      <c r="N172" s="31"/>
      <c r="O172" s="31"/>
      <c r="P172" s="31"/>
      <c r="Q172" s="31"/>
      <c r="R172" s="31"/>
      <c r="S172" s="31"/>
      <c r="T172" s="31"/>
      <c r="U172" s="31"/>
      <c r="V172" s="31"/>
      <c r="W172" s="31"/>
      <c r="X172" s="31"/>
      <c r="Y172" s="31"/>
      <c r="Z172" s="31"/>
    </row>
    <row r="173" ht="13.5" customHeight="1">
      <c r="A173" s="33" t="s">
        <v>108</v>
      </c>
      <c r="B173" s="33" t="s">
        <v>109</v>
      </c>
      <c r="C173" s="33" t="s">
        <v>95</v>
      </c>
      <c r="D173" s="33" t="s">
        <v>103</v>
      </c>
      <c r="E173" s="33" t="s">
        <v>67</v>
      </c>
      <c r="F173" s="33"/>
      <c r="G173" s="31"/>
      <c r="H173" s="31"/>
      <c r="I173" s="31"/>
      <c r="J173" s="31"/>
      <c r="K173" s="31"/>
      <c r="L173" s="31"/>
      <c r="M173" s="31"/>
      <c r="N173" s="31"/>
      <c r="O173" s="31"/>
      <c r="P173" s="31"/>
      <c r="Q173" s="31"/>
      <c r="R173" s="31"/>
      <c r="S173" s="31"/>
      <c r="T173" s="31"/>
      <c r="U173" s="31"/>
      <c r="V173" s="31"/>
      <c r="W173" s="31"/>
      <c r="X173" s="31"/>
      <c r="Y173" s="31"/>
      <c r="Z173" s="31"/>
    </row>
    <row r="174" ht="13.5" customHeight="1">
      <c r="A174" s="34" t="s">
        <v>30</v>
      </c>
      <c r="B174" s="35" t="s">
        <v>31</v>
      </c>
      <c r="C174" s="36">
        <v>45026.0</v>
      </c>
      <c r="D174" s="34" t="s">
        <v>32</v>
      </c>
      <c r="E174" s="35" t="s">
        <v>33</v>
      </c>
      <c r="F174" s="37"/>
      <c r="G174" s="31"/>
      <c r="H174" s="31"/>
      <c r="I174" s="31"/>
      <c r="J174" s="31"/>
      <c r="K174" s="31"/>
      <c r="L174" s="31"/>
      <c r="M174" s="31"/>
      <c r="N174" s="31"/>
      <c r="O174" s="31"/>
      <c r="P174" s="31"/>
      <c r="Q174" s="31"/>
      <c r="R174" s="31"/>
      <c r="S174" s="31"/>
      <c r="T174" s="31"/>
      <c r="U174" s="31"/>
      <c r="V174" s="31"/>
      <c r="W174" s="31"/>
      <c r="X174" s="31"/>
      <c r="Y174" s="31"/>
      <c r="Z174" s="31"/>
    </row>
    <row r="175" ht="13.5" customHeight="1">
      <c r="A175" s="38"/>
      <c r="B175" s="35" t="s">
        <v>34</v>
      </c>
      <c r="C175" s="33">
        <f>IF(C174="","",IF(AND(MONTH(C174)&gt;=1,MONTH(C174)&lt;=3),1,IF(AND(MONTH(C174)&gt;=4,MONTH(C174)&lt;=6),2,IF(AND(MONTH(C174)&gt;=7,MONTH(C174)&lt;=9),3,4))))</f>
        <v>2</v>
      </c>
      <c r="D175" s="38"/>
      <c r="E175" s="35" t="s">
        <v>35</v>
      </c>
      <c r="F175" s="37"/>
      <c r="G175" s="31"/>
      <c r="H175" s="31"/>
      <c r="I175" s="31"/>
      <c r="J175" s="31"/>
      <c r="K175" s="31"/>
      <c r="L175" s="31"/>
      <c r="M175" s="31"/>
      <c r="N175" s="31"/>
      <c r="O175" s="31"/>
      <c r="P175" s="31"/>
      <c r="Q175" s="31"/>
      <c r="R175" s="31"/>
      <c r="S175" s="31"/>
      <c r="T175" s="31"/>
      <c r="U175" s="31"/>
      <c r="V175" s="31"/>
      <c r="W175" s="31"/>
      <c r="X175" s="31"/>
      <c r="Y175" s="31"/>
      <c r="Z175" s="31"/>
    </row>
    <row r="176" ht="13.5" customHeight="1">
      <c r="A176" s="38"/>
      <c r="B176" s="35" t="s">
        <v>36</v>
      </c>
      <c r="C176" s="36">
        <v>45048.0</v>
      </c>
      <c r="D176" s="38"/>
      <c r="E176" s="35" t="s">
        <v>37</v>
      </c>
      <c r="F176" s="37"/>
      <c r="G176" s="31"/>
      <c r="H176" s="31"/>
      <c r="I176" s="31"/>
      <c r="J176" s="31"/>
      <c r="K176" s="31"/>
      <c r="L176" s="31"/>
      <c r="M176" s="31"/>
      <c r="N176" s="31"/>
      <c r="O176" s="31"/>
      <c r="P176" s="31"/>
      <c r="Q176" s="31"/>
      <c r="R176" s="31"/>
      <c r="S176" s="31"/>
      <c r="T176" s="31"/>
      <c r="U176" s="31"/>
      <c r="V176" s="31"/>
      <c r="W176" s="31"/>
      <c r="X176" s="31"/>
      <c r="Y176" s="31"/>
      <c r="Z176" s="31"/>
    </row>
    <row r="177" ht="13.5" customHeight="1">
      <c r="A177" s="39"/>
      <c r="B177" s="35" t="s">
        <v>34</v>
      </c>
      <c r="C177" s="33">
        <f>IF(C176="","",IF(AND(MONTH(C176)&gt;=1,MONTH(C176)&lt;=3),1,IF(AND(MONTH(C176)&gt;=4,MONTH(C176)&lt;=6),2,IF(AND(MONTH(C176)&gt;=7,MONTH(C176)&lt;=9),3,4))))</f>
        <v>2</v>
      </c>
      <c r="D177" s="39"/>
      <c r="E177" s="35" t="s">
        <v>38</v>
      </c>
      <c r="F177" s="37"/>
      <c r="G177" s="31"/>
      <c r="H177" s="31"/>
      <c r="I177" s="31"/>
      <c r="J177" s="31"/>
      <c r="K177" s="31"/>
      <c r="L177" s="31"/>
      <c r="M177" s="31"/>
      <c r="N177" s="31"/>
      <c r="O177" s="31"/>
      <c r="P177" s="31"/>
      <c r="Q177" s="31"/>
      <c r="R177" s="31"/>
      <c r="S177" s="31"/>
      <c r="T177" s="31"/>
      <c r="U177" s="31"/>
      <c r="V177" s="31"/>
      <c r="W177" s="31"/>
      <c r="X177" s="31"/>
      <c r="Y177" s="31"/>
      <c r="Z177" s="31"/>
    </row>
    <row r="178" ht="13.5" customHeight="1">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row>
    <row r="179" ht="13.5" customHeight="1">
      <c r="A179" s="40" t="s">
        <v>39</v>
      </c>
      <c r="B179" s="40" t="s">
        <v>40</v>
      </c>
      <c r="C179" s="40" t="s">
        <v>41</v>
      </c>
      <c r="D179" s="40" t="s">
        <v>42</v>
      </c>
      <c r="E179" s="40" t="s">
        <v>43</v>
      </c>
      <c r="F179" s="40" t="s">
        <v>44</v>
      </c>
      <c r="G179" s="31"/>
      <c r="H179" s="31"/>
      <c r="I179" s="31"/>
      <c r="J179" s="31"/>
      <c r="K179" s="31"/>
      <c r="L179" s="31"/>
      <c r="M179" s="31"/>
      <c r="N179" s="31"/>
      <c r="O179" s="31"/>
      <c r="P179" s="31"/>
      <c r="Q179" s="31"/>
      <c r="R179" s="31"/>
      <c r="S179" s="31"/>
      <c r="T179" s="31"/>
      <c r="U179" s="31"/>
      <c r="V179" s="31"/>
      <c r="W179" s="31"/>
      <c r="X179" s="31"/>
      <c r="Y179" s="31"/>
      <c r="Z179" s="31"/>
    </row>
    <row r="180" ht="13.5" customHeight="1">
      <c r="A180" s="41" t="s">
        <v>110</v>
      </c>
      <c r="B180" s="41" t="str">
        <f t="shared" ref="B180:B181" si="35">IFERROR(INDEX(#REF!,MATCH(INDIRECT(ADDRESS(ROW(),COLUMN()-1,4)),#REF!,0)),IF(INDIRECT(ADDRESS(ROW(),COLUMN()-1,4))="25101611","Camiones de carga",""))</f>
        <v>Camiones de carga</v>
      </c>
      <c r="C180" s="42" t="str">
        <f t="shared" ref="C180:C181" si="36">IFERROR(VLOOKUP("UD",'Informacion '!P:Q,2,FALSE),"")</f>
        <v/>
      </c>
      <c r="D180" s="41">
        <v>1.0</v>
      </c>
      <c r="E180" s="43">
        <v>850000.0</v>
      </c>
      <c r="F180" s="43">
        <f t="shared" ref="F180:F181" si="37">INDIRECT(ADDRESS(ROW(),COLUMN()-2,4))*INDIRECT(ADDRESS(ROW(),COLUMN()-1,4))</f>
        <v>850000</v>
      </c>
      <c r="G180" s="31"/>
      <c r="H180" s="31"/>
      <c r="I180" s="31"/>
      <c r="J180" s="31"/>
      <c r="K180" s="31"/>
      <c r="L180" s="31"/>
      <c r="M180" s="31"/>
      <c r="N180" s="31"/>
      <c r="O180" s="31"/>
      <c r="P180" s="31"/>
      <c r="Q180" s="31"/>
      <c r="R180" s="31"/>
      <c r="S180" s="31"/>
      <c r="T180" s="31"/>
      <c r="U180" s="31"/>
      <c r="V180" s="31"/>
      <c r="W180" s="31"/>
      <c r="X180" s="31"/>
      <c r="Y180" s="31"/>
      <c r="Z180" s="31"/>
    </row>
    <row r="181" ht="13.5" customHeight="1">
      <c r="A181" s="41" t="s">
        <v>110</v>
      </c>
      <c r="B181" s="41" t="str">
        <f t="shared" si="35"/>
        <v>Camiones de carga</v>
      </c>
      <c r="C181" s="42" t="str">
        <f t="shared" si="36"/>
        <v/>
      </c>
      <c r="D181" s="41">
        <v>1.0</v>
      </c>
      <c r="E181" s="43">
        <v>850000.0</v>
      </c>
      <c r="F181" s="43">
        <f t="shared" si="37"/>
        <v>850000</v>
      </c>
      <c r="G181" s="31"/>
      <c r="H181" s="31"/>
      <c r="I181" s="31"/>
      <c r="J181" s="31"/>
      <c r="K181" s="31"/>
      <c r="L181" s="31"/>
      <c r="M181" s="31"/>
      <c r="N181" s="31"/>
      <c r="O181" s="31"/>
      <c r="P181" s="31"/>
      <c r="Q181" s="31"/>
      <c r="R181" s="31"/>
      <c r="S181" s="31"/>
      <c r="T181" s="31"/>
      <c r="U181" s="31"/>
      <c r="V181" s="31"/>
      <c r="W181" s="31"/>
      <c r="X181" s="31"/>
      <c r="Y181" s="31"/>
      <c r="Z181" s="31"/>
    </row>
    <row r="182" ht="13.5" customHeight="1">
      <c r="A182" s="31"/>
      <c r="B182" s="31"/>
      <c r="C182" s="31"/>
      <c r="D182" s="31"/>
      <c r="E182" s="44" t="s">
        <v>63</v>
      </c>
      <c r="F182" s="45">
        <f>SUM(PACC!$F$180:$F$181)</f>
        <v>1700000</v>
      </c>
      <c r="G182" s="31"/>
      <c r="H182" s="31" t="str">
        <f>C173</f>
        <v>Servicios</v>
      </c>
      <c r="I182" s="31" t="str">
        <f>E173</f>
        <v>No</v>
      </c>
      <c r="J182" s="31" t="str">
        <f>D173</f>
        <v>Comparacion de Precios</v>
      </c>
      <c r="K182" s="31"/>
      <c r="L182" s="31"/>
      <c r="M182" s="31"/>
      <c r="N182" s="31"/>
      <c r="O182" s="31"/>
      <c r="P182" s="31"/>
      <c r="Q182" s="31"/>
      <c r="R182" s="31"/>
      <c r="S182" s="31"/>
      <c r="T182" s="31"/>
      <c r="U182" s="31"/>
      <c r="V182" s="31"/>
      <c r="W182" s="31"/>
      <c r="X182" s="31"/>
      <c r="Y182" s="31"/>
      <c r="Z182" s="31"/>
    </row>
    <row r="183" ht="13.5" customHeight="1">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row>
    <row r="184" ht="33.75" customHeight="1">
      <c r="A184" s="32" t="s">
        <v>19</v>
      </c>
      <c r="B184" s="32" t="s">
        <v>20</v>
      </c>
      <c r="C184" s="32" t="s">
        <v>21</v>
      </c>
      <c r="D184" s="32" t="s">
        <v>22</v>
      </c>
      <c r="E184" s="32" t="s">
        <v>23</v>
      </c>
      <c r="F184" s="32" t="s">
        <v>24</v>
      </c>
      <c r="G184" s="31"/>
      <c r="H184" s="31"/>
      <c r="I184" s="31"/>
      <c r="J184" s="31"/>
      <c r="K184" s="31"/>
      <c r="L184" s="31"/>
      <c r="M184" s="31"/>
      <c r="N184" s="31"/>
      <c r="O184" s="31"/>
      <c r="P184" s="31"/>
      <c r="Q184" s="31"/>
      <c r="R184" s="31"/>
      <c r="S184" s="31"/>
      <c r="T184" s="31"/>
      <c r="U184" s="31"/>
      <c r="V184" s="31"/>
      <c r="W184" s="31"/>
      <c r="X184" s="31"/>
      <c r="Y184" s="31"/>
      <c r="Z184" s="31"/>
    </row>
    <row r="185" ht="13.5" customHeight="1">
      <c r="A185" s="33" t="s">
        <v>111</v>
      </c>
      <c r="B185" s="33" t="s">
        <v>112</v>
      </c>
      <c r="C185" s="33" t="s">
        <v>95</v>
      </c>
      <c r="D185" s="33" t="s">
        <v>103</v>
      </c>
      <c r="E185" s="33" t="s">
        <v>67</v>
      </c>
      <c r="F185" s="33"/>
      <c r="G185" s="31"/>
      <c r="H185" s="31"/>
      <c r="I185" s="31"/>
      <c r="J185" s="31"/>
      <c r="K185" s="31"/>
      <c r="L185" s="31"/>
      <c r="M185" s="31"/>
      <c r="N185" s="31"/>
      <c r="O185" s="31"/>
      <c r="P185" s="31"/>
      <c r="Q185" s="31"/>
      <c r="R185" s="31"/>
      <c r="S185" s="31"/>
      <c r="T185" s="31"/>
      <c r="U185" s="31"/>
      <c r="V185" s="31"/>
      <c r="W185" s="31"/>
      <c r="X185" s="31"/>
      <c r="Y185" s="31"/>
      <c r="Z185" s="31"/>
    </row>
    <row r="186" ht="13.5" customHeight="1">
      <c r="A186" s="34" t="s">
        <v>30</v>
      </c>
      <c r="B186" s="35" t="s">
        <v>31</v>
      </c>
      <c r="C186" s="36">
        <v>44960.0</v>
      </c>
      <c r="D186" s="34" t="s">
        <v>32</v>
      </c>
      <c r="E186" s="35" t="s">
        <v>33</v>
      </c>
      <c r="F186" s="37"/>
      <c r="G186" s="31"/>
      <c r="H186" s="31"/>
      <c r="I186" s="31"/>
      <c r="J186" s="31"/>
      <c r="K186" s="31"/>
      <c r="L186" s="31"/>
      <c r="M186" s="31"/>
      <c r="N186" s="31"/>
      <c r="O186" s="31"/>
      <c r="P186" s="31"/>
      <c r="Q186" s="31"/>
      <c r="R186" s="31"/>
      <c r="S186" s="31"/>
      <c r="T186" s="31"/>
      <c r="U186" s="31"/>
      <c r="V186" s="31"/>
      <c r="W186" s="31"/>
      <c r="X186" s="31"/>
      <c r="Y186" s="31"/>
      <c r="Z186" s="31"/>
    </row>
    <row r="187" ht="13.5" customHeight="1">
      <c r="A187" s="38"/>
      <c r="B187" s="35" t="s">
        <v>34</v>
      </c>
      <c r="C187" s="33">
        <f>IF(C186="","",IF(AND(MONTH(C186)&gt;=1,MONTH(C186)&lt;=3),1,IF(AND(MONTH(C186)&gt;=4,MONTH(C186)&lt;=6),2,IF(AND(MONTH(C186)&gt;=7,MONTH(C186)&lt;=9),3,4))))</f>
        <v>1</v>
      </c>
      <c r="D187" s="38"/>
      <c r="E187" s="35" t="s">
        <v>35</v>
      </c>
      <c r="F187" s="37"/>
      <c r="G187" s="31"/>
      <c r="H187" s="31"/>
      <c r="I187" s="31"/>
      <c r="J187" s="31"/>
      <c r="K187" s="31"/>
      <c r="L187" s="31"/>
      <c r="M187" s="31"/>
      <c r="N187" s="31"/>
      <c r="O187" s="31"/>
      <c r="P187" s="31"/>
      <c r="Q187" s="31"/>
      <c r="R187" s="31"/>
      <c r="S187" s="31"/>
      <c r="T187" s="31"/>
      <c r="U187" s="31"/>
      <c r="V187" s="31"/>
      <c r="W187" s="31"/>
      <c r="X187" s="31"/>
      <c r="Y187" s="31"/>
      <c r="Z187" s="31"/>
    </row>
    <row r="188" ht="13.5" customHeight="1">
      <c r="A188" s="38"/>
      <c r="B188" s="35" t="s">
        <v>36</v>
      </c>
      <c r="C188" s="36">
        <v>44977.0</v>
      </c>
      <c r="D188" s="38"/>
      <c r="E188" s="35" t="s">
        <v>37</v>
      </c>
      <c r="F188" s="37"/>
      <c r="G188" s="31"/>
      <c r="H188" s="31"/>
      <c r="I188" s="31"/>
      <c r="J188" s="31"/>
      <c r="K188" s="31"/>
      <c r="L188" s="31"/>
      <c r="M188" s="31"/>
      <c r="N188" s="31"/>
      <c r="O188" s="31"/>
      <c r="P188" s="31"/>
      <c r="Q188" s="31"/>
      <c r="R188" s="31"/>
      <c r="S188" s="31"/>
      <c r="T188" s="31"/>
      <c r="U188" s="31"/>
      <c r="V188" s="31"/>
      <c r="W188" s="31"/>
      <c r="X188" s="31"/>
      <c r="Y188" s="31"/>
      <c r="Z188" s="31"/>
    </row>
    <row r="189" ht="13.5" customHeight="1">
      <c r="A189" s="39"/>
      <c r="B189" s="35" t="s">
        <v>34</v>
      </c>
      <c r="C189" s="33">
        <f>IF(C188="","",IF(AND(MONTH(C188)&gt;=1,MONTH(C188)&lt;=3),1,IF(AND(MONTH(C188)&gt;=4,MONTH(C188)&lt;=6),2,IF(AND(MONTH(C188)&gt;=7,MONTH(C188)&lt;=9),3,4))))</f>
        <v>1</v>
      </c>
      <c r="D189" s="39"/>
      <c r="E189" s="35" t="s">
        <v>38</v>
      </c>
      <c r="F189" s="37"/>
      <c r="G189" s="31"/>
      <c r="H189" s="31"/>
      <c r="I189" s="31"/>
      <c r="J189" s="31"/>
      <c r="K189" s="31"/>
      <c r="L189" s="31"/>
      <c r="M189" s="31"/>
      <c r="N189" s="31"/>
      <c r="O189" s="31"/>
      <c r="P189" s="31"/>
      <c r="Q189" s="31"/>
      <c r="R189" s="31"/>
      <c r="S189" s="31"/>
      <c r="T189" s="31"/>
      <c r="U189" s="31"/>
      <c r="V189" s="31"/>
      <c r="W189" s="31"/>
      <c r="X189" s="31"/>
      <c r="Y189" s="31"/>
      <c r="Z189" s="31"/>
    </row>
    <row r="190" ht="13.5" customHeight="1">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row>
    <row r="191" ht="13.5" customHeight="1">
      <c r="A191" s="40" t="s">
        <v>39</v>
      </c>
      <c r="B191" s="40" t="s">
        <v>40</v>
      </c>
      <c r="C191" s="40" t="s">
        <v>41</v>
      </c>
      <c r="D191" s="40" t="s">
        <v>42</v>
      </c>
      <c r="E191" s="40" t="s">
        <v>43</v>
      </c>
      <c r="F191" s="40" t="s">
        <v>44</v>
      </c>
      <c r="G191" s="31"/>
      <c r="H191" s="31"/>
      <c r="I191" s="31"/>
      <c r="J191" s="31"/>
      <c r="K191" s="31"/>
      <c r="L191" s="31"/>
      <c r="M191" s="31"/>
      <c r="N191" s="31"/>
      <c r="O191" s="31"/>
      <c r="P191" s="31"/>
      <c r="Q191" s="31"/>
      <c r="R191" s="31"/>
      <c r="S191" s="31"/>
      <c r="T191" s="31"/>
      <c r="U191" s="31"/>
      <c r="V191" s="31"/>
      <c r="W191" s="31"/>
      <c r="X191" s="31"/>
      <c r="Y191" s="31"/>
      <c r="Z191" s="31"/>
    </row>
    <row r="192" ht="13.5" customHeight="1">
      <c r="A192" s="41" t="s">
        <v>113</v>
      </c>
      <c r="B192" s="41" t="str">
        <f t="array" ref="B192">IFERROR(INDEX(#REF!,MATCH(INDIRECT(ADDRESS(ROW(),COLUMN()-1,4)),#REF!,0)),IF(INDIRECT(ADDRESS(ROW(),COLUMN()-1,4))="78180103","Servicios de cambio de fluidos de aceite o de la transmisión",""))</f>
        <v>Servicios de cambio de fluidos de aceite o de la transmisión</v>
      </c>
      <c r="C192" s="42" t="str">
        <f>IFERROR(VLOOKUP("UD",'Informacion '!P:Q,2,FALSE),"")</f>
        <v/>
      </c>
      <c r="D192" s="41">
        <v>1.0</v>
      </c>
      <c r="E192" s="43">
        <v>1600000.0</v>
      </c>
      <c r="F192" s="43">
        <f>INDIRECT(ADDRESS(ROW(),COLUMN()-2,4))*INDIRECT(ADDRESS(ROW(),COLUMN()-1,4))</f>
        <v>1600000</v>
      </c>
      <c r="G192" s="31"/>
      <c r="H192" s="31"/>
      <c r="I192" s="31"/>
      <c r="J192" s="31"/>
      <c r="K192" s="31"/>
      <c r="L192" s="31"/>
      <c r="M192" s="31"/>
      <c r="N192" s="31"/>
      <c r="O192" s="31"/>
      <c r="P192" s="31"/>
      <c r="Q192" s="31"/>
      <c r="R192" s="31"/>
      <c r="S192" s="31"/>
      <c r="T192" s="31"/>
      <c r="U192" s="31"/>
      <c r="V192" s="31"/>
      <c r="W192" s="31"/>
      <c r="X192" s="31"/>
      <c r="Y192" s="31"/>
      <c r="Z192" s="31"/>
    </row>
    <row r="193" ht="13.5" customHeight="1">
      <c r="A193" s="31"/>
      <c r="B193" s="31"/>
      <c r="C193" s="31"/>
      <c r="D193" s="31"/>
      <c r="E193" s="44" t="s">
        <v>63</v>
      </c>
      <c r="F193" s="45">
        <f>SUM(PACC!$F$192)</f>
        <v>1600000</v>
      </c>
      <c r="G193" s="31"/>
      <c r="H193" s="31" t="str">
        <f>C185</f>
        <v>Servicios</v>
      </c>
      <c r="I193" s="31" t="str">
        <f>E185</f>
        <v>No</v>
      </c>
      <c r="J193" s="31" t="str">
        <f>D185</f>
        <v>Comparacion de Precios</v>
      </c>
      <c r="K193" s="31"/>
      <c r="L193" s="31"/>
      <c r="M193" s="31"/>
      <c r="N193" s="31"/>
      <c r="O193" s="31"/>
      <c r="P193" s="31"/>
      <c r="Q193" s="31"/>
      <c r="R193" s="31"/>
      <c r="S193" s="31"/>
      <c r="T193" s="31"/>
      <c r="U193" s="31"/>
      <c r="V193" s="31"/>
      <c r="W193" s="31"/>
      <c r="X193" s="31"/>
      <c r="Y193" s="31"/>
      <c r="Z193" s="31"/>
    </row>
    <row r="194" ht="13.5" customHeight="1">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row>
    <row r="195" ht="33.75" customHeight="1">
      <c r="A195" s="32" t="s">
        <v>19</v>
      </c>
      <c r="B195" s="32" t="s">
        <v>20</v>
      </c>
      <c r="C195" s="32" t="s">
        <v>21</v>
      </c>
      <c r="D195" s="32" t="s">
        <v>22</v>
      </c>
      <c r="E195" s="32" t="s">
        <v>23</v>
      </c>
      <c r="F195" s="32" t="s">
        <v>24</v>
      </c>
      <c r="G195" s="31"/>
      <c r="H195" s="31"/>
      <c r="I195" s="31"/>
      <c r="J195" s="31"/>
      <c r="K195" s="31"/>
      <c r="L195" s="31"/>
      <c r="M195" s="31"/>
      <c r="N195" s="31"/>
      <c r="O195" s="31"/>
      <c r="P195" s="31"/>
      <c r="Q195" s="31"/>
      <c r="R195" s="31"/>
      <c r="S195" s="31"/>
      <c r="T195" s="31"/>
      <c r="U195" s="31"/>
      <c r="V195" s="31"/>
      <c r="W195" s="31"/>
      <c r="X195" s="31"/>
      <c r="Y195" s="31"/>
      <c r="Z195" s="31"/>
    </row>
    <row r="196" ht="13.5" customHeight="1">
      <c r="A196" s="33" t="s">
        <v>114</v>
      </c>
      <c r="B196" s="33" t="s">
        <v>115</v>
      </c>
      <c r="C196" s="33" t="s">
        <v>95</v>
      </c>
      <c r="D196" s="33" t="s">
        <v>116</v>
      </c>
      <c r="E196" s="33" t="s">
        <v>67</v>
      </c>
      <c r="F196" s="33"/>
      <c r="G196" s="31"/>
      <c r="H196" s="31"/>
      <c r="I196" s="31"/>
      <c r="J196" s="31"/>
      <c r="K196" s="31"/>
      <c r="L196" s="31"/>
      <c r="M196" s="31"/>
      <c r="N196" s="31"/>
      <c r="O196" s="31"/>
      <c r="P196" s="31"/>
      <c r="Q196" s="31"/>
      <c r="R196" s="31"/>
      <c r="S196" s="31"/>
      <c r="T196" s="31"/>
      <c r="U196" s="31"/>
      <c r="V196" s="31"/>
      <c r="W196" s="31"/>
      <c r="X196" s="31"/>
      <c r="Y196" s="31"/>
      <c r="Z196" s="31"/>
    </row>
    <row r="197" ht="13.5" customHeight="1">
      <c r="A197" s="34" t="s">
        <v>30</v>
      </c>
      <c r="B197" s="35" t="s">
        <v>31</v>
      </c>
      <c r="C197" s="36">
        <v>44960.0</v>
      </c>
      <c r="D197" s="34" t="s">
        <v>32</v>
      </c>
      <c r="E197" s="35" t="s">
        <v>33</v>
      </c>
      <c r="F197" s="37"/>
      <c r="G197" s="31"/>
      <c r="H197" s="31"/>
      <c r="I197" s="31"/>
      <c r="J197" s="31"/>
      <c r="K197" s="31"/>
      <c r="L197" s="31"/>
      <c r="M197" s="31"/>
      <c r="N197" s="31"/>
      <c r="O197" s="31"/>
      <c r="P197" s="31"/>
      <c r="Q197" s="31"/>
      <c r="R197" s="31"/>
      <c r="S197" s="31"/>
      <c r="T197" s="31"/>
      <c r="U197" s="31"/>
      <c r="V197" s="31"/>
      <c r="W197" s="31"/>
      <c r="X197" s="31"/>
      <c r="Y197" s="31"/>
      <c r="Z197" s="31"/>
    </row>
    <row r="198" ht="13.5" customHeight="1">
      <c r="A198" s="38"/>
      <c r="B198" s="35" t="s">
        <v>34</v>
      </c>
      <c r="C198" s="33">
        <f>IF(C197="","",IF(AND(MONTH(C197)&gt;=1,MONTH(C197)&lt;=3),1,IF(AND(MONTH(C197)&gt;=4,MONTH(C197)&lt;=6),2,IF(AND(MONTH(C197)&gt;=7,MONTH(C197)&lt;=9),3,4))))</f>
        <v>1</v>
      </c>
      <c r="D198" s="38"/>
      <c r="E198" s="35" t="s">
        <v>35</v>
      </c>
      <c r="F198" s="37"/>
      <c r="G198" s="31"/>
      <c r="H198" s="31"/>
      <c r="I198" s="31"/>
      <c r="J198" s="31"/>
      <c r="K198" s="31"/>
      <c r="L198" s="31"/>
      <c r="M198" s="31"/>
      <c r="N198" s="31"/>
      <c r="O198" s="31"/>
      <c r="P198" s="31"/>
      <c r="Q198" s="31"/>
      <c r="R198" s="31"/>
      <c r="S198" s="31"/>
      <c r="T198" s="31"/>
      <c r="U198" s="31"/>
      <c r="V198" s="31"/>
      <c r="W198" s="31"/>
      <c r="X198" s="31"/>
      <c r="Y198" s="31"/>
      <c r="Z198" s="31"/>
    </row>
    <row r="199" ht="13.5" customHeight="1">
      <c r="A199" s="38"/>
      <c r="B199" s="35" t="s">
        <v>36</v>
      </c>
      <c r="C199" s="36">
        <v>44981.0</v>
      </c>
      <c r="D199" s="38"/>
      <c r="E199" s="35" t="s">
        <v>37</v>
      </c>
      <c r="F199" s="37"/>
      <c r="G199" s="31"/>
      <c r="H199" s="31"/>
      <c r="I199" s="31"/>
      <c r="J199" s="31"/>
      <c r="K199" s="31"/>
      <c r="L199" s="31"/>
      <c r="M199" s="31"/>
      <c r="N199" s="31"/>
      <c r="O199" s="31"/>
      <c r="P199" s="31"/>
      <c r="Q199" s="31"/>
      <c r="R199" s="31"/>
      <c r="S199" s="31"/>
      <c r="T199" s="31"/>
      <c r="U199" s="31"/>
      <c r="V199" s="31"/>
      <c r="W199" s="31"/>
      <c r="X199" s="31"/>
      <c r="Y199" s="31"/>
      <c r="Z199" s="31"/>
    </row>
    <row r="200" ht="13.5" customHeight="1">
      <c r="A200" s="39"/>
      <c r="B200" s="35" t="s">
        <v>34</v>
      </c>
      <c r="C200" s="33">
        <f>IF(C199="","",IF(AND(MONTH(C199)&gt;=1,MONTH(C199)&lt;=3),1,IF(AND(MONTH(C199)&gt;=4,MONTH(C199)&lt;=6),2,IF(AND(MONTH(C199)&gt;=7,MONTH(C199)&lt;=9),3,4))))</f>
        <v>1</v>
      </c>
      <c r="D200" s="39"/>
      <c r="E200" s="35" t="s">
        <v>38</v>
      </c>
      <c r="F200" s="37"/>
      <c r="G200" s="31"/>
      <c r="H200" s="31"/>
      <c r="I200" s="31"/>
      <c r="J200" s="31"/>
      <c r="K200" s="31"/>
      <c r="L200" s="31"/>
      <c r="M200" s="31"/>
      <c r="N200" s="31"/>
      <c r="O200" s="31"/>
      <c r="P200" s="31"/>
      <c r="Q200" s="31"/>
      <c r="R200" s="31"/>
      <c r="S200" s="31"/>
      <c r="T200" s="31"/>
      <c r="U200" s="31"/>
      <c r="V200" s="31"/>
      <c r="W200" s="31"/>
      <c r="X200" s="31"/>
      <c r="Y200" s="31"/>
      <c r="Z200" s="31"/>
    </row>
    <row r="201" ht="13.5" customHeight="1">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row>
    <row r="202" ht="13.5" customHeight="1">
      <c r="A202" s="40" t="s">
        <v>39</v>
      </c>
      <c r="B202" s="40" t="s">
        <v>40</v>
      </c>
      <c r="C202" s="40" t="s">
        <v>41</v>
      </c>
      <c r="D202" s="40" t="s">
        <v>42</v>
      </c>
      <c r="E202" s="40" t="s">
        <v>43</v>
      </c>
      <c r="F202" s="40" t="s">
        <v>44</v>
      </c>
      <c r="G202" s="31"/>
      <c r="H202" s="31"/>
      <c r="I202" s="31"/>
      <c r="J202" s="31"/>
      <c r="K202" s="31"/>
      <c r="L202" s="31"/>
      <c r="M202" s="31"/>
      <c r="N202" s="31"/>
      <c r="O202" s="31"/>
      <c r="P202" s="31"/>
      <c r="Q202" s="31"/>
      <c r="R202" s="31"/>
      <c r="S202" s="31"/>
      <c r="T202" s="31"/>
      <c r="U202" s="31"/>
      <c r="V202" s="31"/>
      <c r="W202" s="31"/>
      <c r="X202" s="31"/>
      <c r="Y202" s="31"/>
      <c r="Z202" s="31"/>
    </row>
    <row r="203" ht="13.5" customHeight="1">
      <c r="A203" s="41" t="s">
        <v>117</v>
      </c>
      <c r="B203" s="41" t="str">
        <f t="array" ref="B203">IFERROR(INDEX(#REF!,MATCH(INDIRECT(ADDRESS(ROW(),COLUMN()-1,4)),#REF!,0)),IF(INDIRECT(ADDRESS(ROW(),COLUMN()-1,4))="82121503","Impresión digital",""))</f>
        <v>Impresión digital</v>
      </c>
      <c r="C203" s="42" t="str">
        <f>IFERROR(VLOOKUP("UD",'Informacion '!P:Q,2,FALSE),"")</f>
        <v/>
      </c>
      <c r="D203" s="41">
        <v>1.0</v>
      </c>
      <c r="E203" s="43">
        <v>1250000.0</v>
      </c>
      <c r="F203" s="43">
        <f>INDIRECT(ADDRESS(ROW(),COLUMN()-2,4))*INDIRECT(ADDRESS(ROW(),COLUMN()-1,4))</f>
        <v>1250000</v>
      </c>
      <c r="G203" s="31"/>
      <c r="H203" s="31"/>
      <c r="I203" s="31"/>
      <c r="J203" s="31"/>
      <c r="K203" s="31"/>
      <c r="L203" s="31"/>
      <c r="M203" s="31"/>
      <c r="N203" s="31"/>
      <c r="O203" s="31"/>
      <c r="P203" s="31"/>
      <c r="Q203" s="31"/>
      <c r="R203" s="31"/>
      <c r="S203" s="31"/>
      <c r="T203" s="31"/>
      <c r="U203" s="31"/>
      <c r="V203" s="31"/>
      <c r="W203" s="31"/>
      <c r="X203" s="31"/>
      <c r="Y203" s="31"/>
      <c r="Z203" s="31"/>
    </row>
    <row r="204" ht="13.5" customHeight="1">
      <c r="A204" s="31"/>
      <c r="B204" s="31"/>
      <c r="C204" s="31"/>
      <c r="D204" s="31"/>
      <c r="E204" s="44" t="s">
        <v>63</v>
      </c>
      <c r="F204" s="45">
        <f>SUM(PACC!$F$203)</f>
        <v>1250000</v>
      </c>
      <c r="G204" s="31"/>
      <c r="H204" s="31" t="str">
        <f>C196</f>
        <v>Servicios</v>
      </c>
      <c r="I204" s="31" t="str">
        <f>E196</f>
        <v>No</v>
      </c>
      <c r="J204" s="31" t="str">
        <f>D196</f>
        <v>Compras Menores</v>
      </c>
      <c r="K204" s="31"/>
      <c r="L204" s="31"/>
      <c r="M204" s="31"/>
      <c r="N204" s="31"/>
      <c r="O204" s="31"/>
      <c r="P204" s="31"/>
      <c r="Q204" s="31"/>
      <c r="R204" s="31"/>
      <c r="S204" s="31"/>
      <c r="T204" s="31"/>
      <c r="U204" s="31"/>
      <c r="V204" s="31"/>
      <c r="W204" s="31"/>
      <c r="X204" s="31"/>
      <c r="Y204" s="31"/>
      <c r="Z204" s="31"/>
    </row>
    <row r="205" ht="13.5" customHeight="1">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row>
    <row r="206" ht="33.75" customHeight="1">
      <c r="A206" s="32" t="s">
        <v>19</v>
      </c>
      <c r="B206" s="32" t="s">
        <v>20</v>
      </c>
      <c r="C206" s="32" t="s">
        <v>21</v>
      </c>
      <c r="D206" s="32" t="s">
        <v>22</v>
      </c>
      <c r="E206" s="32" t="s">
        <v>23</v>
      </c>
      <c r="F206" s="32" t="s">
        <v>24</v>
      </c>
      <c r="G206" s="31"/>
      <c r="H206" s="31"/>
      <c r="I206" s="31"/>
      <c r="J206" s="31"/>
      <c r="K206" s="31"/>
      <c r="L206" s="31"/>
      <c r="M206" s="31"/>
      <c r="N206" s="31"/>
      <c r="O206" s="31"/>
      <c r="P206" s="31"/>
      <c r="Q206" s="31"/>
      <c r="R206" s="31"/>
      <c r="S206" s="31"/>
      <c r="T206" s="31"/>
      <c r="U206" s="31"/>
      <c r="V206" s="31"/>
      <c r="W206" s="31"/>
      <c r="X206" s="31"/>
      <c r="Y206" s="31"/>
      <c r="Z206" s="31"/>
    </row>
    <row r="207" ht="13.5" customHeight="1">
      <c r="A207" s="33" t="s">
        <v>118</v>
      </c>
      <c r="B207" s="33" t="s">
        <v>119</v>
      </c>
      <c r="C207" s="33" t="s">
        <v>95</v>
      </c>
      <c r="D207" s="33" t="s">
        <v>120</v>
      </c>
      <c r="E207" s="33" t="s">
        <v>67</v>
      </c>
      <c r="F207" s="33"/>
      <c r="G207" s="31"/>
      <c r="H207" s="31"/>
      <c r="I207" s="31"/>
      <c r="J207" s="31"/>
      <c r="K207" s="31"/>
      <c r="L207" s="31"/>
      <c r="M207" s="31"/>
      <c r="N207" s="31"/>
      <c r="O207" s="31"/>
      <c r="P207" s="31"/>
      <c r="Q207" s="31"/>
      <c r="R207" s="31"/>
      <c r="S207" s="31"/>
      <c r="T207" s="31"/>
      <c r="U207" s="31"/>
      <c r="V207" s="31"/>
      <c r="W207" s="31"/>
      <c r="X207" s="31"/>
      <c r="Y207" s="31"/>
      <c r="Z207" s="31"/>
    </row>
    <row r="208" ht="13.5" customHeight="1">
      <c r="A208" s="34" t="s">
        <v>30</v>
      </c>
      <c r="B208" s="35" t="s">
        <v>31</v>
      </c>
      <c r="C208" s="36">
        <v>44958.0</v>
      </c>
      <c r="D208" s="34" t="s">
        <v>32</v>
      </c>
      <c r="E208" s="35" t="s">
        <v>33</v>
      </c>
      <c r="F208" s="37"/>
      <c r="G208" s="31"/>
      <c r="H208" s="31"/>
      <c r="I208" s="31"/>
      <c r="J208" s="31"/>
      <c r="K208" s="31"/>
      <c r="L208" s="31"/>
      <c r="M208" s="31"/>
      <c r="N208" s="31"/>
      <c r="O208" s="31"/>
      <c r="P208" s="31"/>
      <c r="Q208" s="31"/>
      <c r="R208" s="31"/>
      <c r="S208" s="31"/>
      <c r="T208" s="31"/>
      <c r="U208" s="31"/>
      <c r="V208" s="31"/>
      <c r="W208" s="31"/>
      <c r="X208" s="31"/>
      <c r="Y208" s="31"/>
      <c r="Z208" s="31"/>
    </row>
    <row r="209" ht="13.5" customHeight="1">
      <c r="A209" s="38"/>
      <c r="B209" s="35" t="s">
        <v>34</v>
      </c>
      <c r="C209" s="33">
        <f>IF(C208="","",IF(AND(MONTH(C208)&gt;=1,MONTH(C208)&lt;=3),1,IF(AND(MONTH(C208)&gt;=4,MONTH(C208)&lt;=6),2,IF(AND(MONTH(C208)&gt;=7,MONTH(C208)&lt;=9),3,4))))</f>
        <v>1</v>
      </c>
      <c r="D209" s="38"/>
      <c r="E209" s="35" t="s">
        <v>35</v>
      </c>
      <c r="F209" s="37"/>
      <c r="G209" s="31"/>
      <c r="H209" s="31"/>
      <c r="I209" s="31"/>
      <c r="J209" s="31"/>
      <c r="K209" s="31"/>
      <c r="L209" s="31"/>
      <c r="M209" s="31"/>
      <c r="N209" s="31"/>
      <c r="O209" s="31"/>
      <c r="P209" s="31"/>
      <c r="Q209" s="31"/>
      <c r="R209" s="31"/>
      <c r="S209" s="31"/>
      <c r="T209" s="31"/>
      <c r="U209" s="31"/>
      <c r="V209" s="31"/>
      <c r="W209" s="31"/>
      <c r="X209" s="31"/>
      <c r="Y209" s="31"/>
      <c r="Z209" s="31"/>
    </row>
    <row r="210" ht="13.5" customHeight="1">
      <c r="A210" s="38"/>
      <c r="B210" s="35" t="s">
        <v>36</v>
      </c>
      <c r="C210" s="36">
        <v>44967.0</v>
      </c>
      <c r="D210" s="38"/>
      <c r="E210" s="35" t="s">
        <v>37</v>
      </c>
      <c r="F210" s="37"/>
      <c r="G210" s="31"/>
      <c r="H210" s="31"/>
      <c r="I210" s="31"/>
      <c r="J210" s="31"/>
      <c r="K210" s="31"/>
      <c r="L210" s="31"/>
      <c r="M210" s="31"/>
      <c r="N210" s="31"/>
      <c r="O210" s="31"/>
      <c r="P210" s="31"/>
      <c r="Q210" s="31"/>
      <c r="R210" s="31"/>
      <c r="S210" s="31"/>
      <c r="T210" s="31"/>
      <c r="U210" s="31"/>
      <c r="V210" s="31"/>
      <c r="W210" s="31"/>
      <c r="X210" s="31"/>
      <c r="Y210" s="31"/>
      <c r="Z210" s="31"/>
    </row>
    <row r="211" ht="13.5" customHeight="1">
      <c r="A211" s="39"/>
      <c r="B211" s="35" t="s">
        <v>34</v>
      </c>
      <c r="C211" s="33">
        <f>IF(C210="","",IF(AND(MONTH(C210)&gt;=1,MONTH(C210)&lt;=3),1,IF(AND(MONTH(C210)&gt;=4,MONTH(C210)&lt;=6),2,IF(AND(MONTH(C210)&gt;=7,MONTH(C210)&lt;=9),3,4))))</f>
        <v>1</v>
      </c>
      <c r="D211" s="39"/>
      <c r="E211" s="35" t="s">
        <v>38</v>
      </c>
      <c r="F211" s="37"/>
      <c r="G211" s="31"/>
      <c r="H211" s="31"/>
      <c r="I211" s="31"/>
      <c r="J211" s="31"/>
      <c r="K211" s="31"/>
      <c r="L211" s="31"/>
      <c r="M211" s="31"/>
      <c r="N211" s="31"/>
      <c r="O211" s="31"/>
      <c r="P211" s="31"/>
      <c r="Q211" s="31"/>
      <c r="R211" s="31"/>
      <c r="S211" s="31"/>
      <c r="T211" s="31"/>
      <c r="U211" s="31"/>
      <c r="V211" s="31"/>
      <c r="W211" s="31"/>
      <c r="X211" s="31"/>
      <c r="Y211" s="31"/>
      <c r="Z211" s="31"/>
    </row>
    <row r="212" ht="13.5" customHeight="1">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row>
    <row r="213" ht="13.5" customHeight="1">
      <c r="A213" s="40" t="s">
        <v>39</v>
      </c>
      <c r="B213" s="40" t="s">
        <v>40</v>
      </c>
      <c r="C213" s="40" t="s">
        <v>41</v>
      </c>
      <c r="D213" s="40" t="s">
        <v>42</v>
      </c>
      <c r="E213" s="40" t="s">
        <v>43</v>
      </c>
      <c r="F213" s="40" t="s">
        <v>44</v>
      </c>
      <c r="G213" s="31"/>
      <c r="H213" s="31"/>
      <c r="I213" s="31"/>
      <c r="J213" s="31"/>
      <c r="K213" s="31"/>
      <c r="L213" s="31"/>
      <c r="M213" s="31"/>
      <c r="N213" s="31"/>
      <c r="O213" s="31"/>
      <c r="P213" s="31"/>
      <c r="Q213" s="31"/>
      <c r="R213" s="31"/>
      <c r="S213" s="31"/>
      <c r="T213" s="31"/>
      <c r="U213" s="31"/>
      <c r="V213" s="31"/>
      <c r="W213" s="31"/>
      <c r="X213" s="31"/>
      <c r="Y213" s="31"/>
      <c r="Z213" s="31"/>
    </row>
    <row r="214" ht="13.5" customHeight="1">
      <c r="A214" s="41" t="s">
        <v>121</v>
      </c>
      <c r="B214" s="41" t="str">
        <f t="array" ref="B214">IFERROR(INDEX(#REF!,MATCH(INDIRECT(ADDRESS(ROW(),COLUMN()-1,4)),#REF!,0)),IF(INDIRECT(ADDRESS(ROW(),COLUMN()-1,4))="82101504","Publicidad en periódicos",""))</f>
        <v>Publicidad en periódicos</v>
      </c>
      <c r="C214" s="42" t="str">
        <f>IFERROR(VLOOKUP("UD",'Informacion '!P:Q,2,FALSE),"")</f>
        <v/>
      </c>
      <c r="D214" s="41">
        <v>24.0</v>
      </c>
      <c r="E214" s="43">
        <v>50000.0</v>
      </c>
      <c r="F214" s="43">
        <f>INDIRECT(ADDRESS(ROW(),COLUMN()-2,4))*INDIRECT(ADDRESS(ROW(),COLUMN()-1,4))</f>
        <v>1200000</v>
      </c>
      <c r="G214" s="31"/>
      <c r="H214" s="31"/>
      <c r="I214" s="31"/>
      <c r="J214" s="31"/>
      <c r="K214" s="31"/>
      <c r="L214" s="31"/>
      <c r="M214" s="31"/>
      <c r="N214" s="31"/>
      <c r="O214" s="31"/>
      <c r="P214" s="31"/>
      <c r="Q214" s="31"/>
      <c r="R214" s="31"/>
      <c r="S214" s="31"/>
      <c r="T214" s="31"/>
      <c r="U214" s="31"/>
      <c r="V214" s="31"/>
      <c r="W214" s="31"/>
      <c r="X214" s="31"/>
      <c r="Y214" s="31"/>
      <c r="Z214" s="31"/>
    </row>
    <row r="215" ht="13.5" customHeight="1">
      <c r="A215" s="31"/>
      <c r="B215" s="31"/>
      <c r="C215" s="31"/>
      <c r="D215" s="31"/>
      <c r="E215" s="44" t="s">
        <v>63</v>
      </c>
      <c r="F215" s="45">
        <f>SUM(PACC!$F$214)</f>
        <v>1200000</v>
      </c>
      <c r="G215" s="31"/>
      <c r="H215" s="31" t="str">
        <f>C207</f>
        <v>Servicios</v>
      </c>
      <c r="I215" s="31" t="str">
        <f>E207</f>
        <v>No</v>
      </c>
      <c r="J215" s="31" t="str">
        <f>D207</f>
        <v>Excepción - Contratación de publicidad a través de medios de comunicación social</v>
      </c>
      <c r="K215" s="31"/>
      <c r="L215" s="31"/>
      <c r="M215" s="31"/>
      <c r="N215" s="31"/>
      <c r="O215" s="31"/>
      <c r="P215" s="31"/>
      <c r="Q215" s="31"/>
      <c r="R215" s="31"/>
      <c r="S215" s="31"/>
      <c r="T215" s="31"/>
      <c r="U215" s="31"/>
      <c r="V215" s="31"/>
      <c r="W215" s="31"/>
      <c r="X215" s="31"/>
      <c r="Y215" s="31"/>
      <c r="Z215" s="31"/>
    </row>
    <row r="216" ht="13.5" customHeight="1">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row>
    <row r="217" ht="33.75" customHeight="1">
      <c r="A217" s="32" t="s">
        <v>19</v>
      </c>
      <c r="B217" s="32" t="s">
        <v>20</v>
      </c>
      <c r="C217" s="32" t="s">
        <v>21</v>
      </c>
      <c r="D217" s="32" t="s">
        <v>22</v>
      </c>
      <c r="E217" s="32" t="s">
        <v>23</v>
      </c>
      <c r="F217" s="32" t="s">
        <v>24</v>
      </c>
      <c r="G217" s="31"/>
      <c r="H217" s="31"/>
      <c r="I217" s="31"/>
      <c r="J217" s="31"/>
      <c r="K217" s="31"/>
      <c r="L217" s="31"/>
      <c r="M217" s="31"/>
      <c r="N217" s="31"/>
      <c r="O217" s="31"/>
      <c r="P217" s="31"/>
      <c r="Q217" s="31"/>
      <c r="R217" s="31"/>
      <c r="S217" s="31"/>
      <c r="T217" s="31"/>
      <c r="U217" s="31"/>
      <c r="V217" s="31"/>
      <c r="W217" s="31"/>
      <c r="X217" s="31"/>
      <c r="Y217" s="31"/>
      <c r="Z217" s="31"/>
    </row>
    <row r="218" ht="13.5" customHeight="1">
      <c r="A218" s="33" t="s">
        <v>122</v>
      </c>
      <c r="B218" s="33" t="s">
        <v>123</v>
      </c>
      <c r="C218" s="33" t="s">
        <v>27</v>
      </c>
      <c r="D218" s="33" t="s">
        <v>124</v>
      </c>
      <c r="E218" s="33" t="s">
        <v>67</v>
      </c>
      <c r="F218" s="33"/>
      <c r="G218" s="31"/>
      <c r="H218" s="31"/>
      <c r="I218" s="31"/>
      <c r="J218" s="31"/>
      <c r="K218" s="31"/>
      <c r="L218" s="31"/>
      <c r="M218" s="31"/>
      <c r="N218" s="31"/>
      <c r="O218" s="31"/>
      <c r="P218" s="31"/>
      <c r="Q218" s="31"/>
      <c r="R218" s="31"/>
      <c r="S218" s="31"/>
      <c r="T218" s="31"/>
      <c r="U218" s="31"/>
      <c r="V218" s="31"/>
      <c r="W218" s="31"/>
      <c r="X218" s="31"/>
      <c r="Y218" s="31"/>
      <c r="Z218" s="31"/>
    </row>
    <row r="219" ht="13.5" customHeight="1">
      <c r="A219" s="34" t="s">
        <v>30</v>
      </c>
      <c r="B219" s="35" t="s">
        <v>31</v>
      </c>
      <c r="C219" s="36">
        <v>44965.0</v>
      </c>
      <c r="D219" s="34" t="s">
        <v>32</v>
      </c>
      <c r="E219" s="35" t="s">
        <v>33</v>
      </c>
      <c r="F219" s="37"/>
      <c r="G219" s="31"/>
      <c r="H219" s="31"/>
      <c r="I219" s="31"/>
      <c r="J219" s="31"/>
      <c r="K219" s="31"/>
      <c r="L219" s="31"/>
      <c r="M219" s="31"/>
      <c r="N219" s="31"/>
      <c r="O219" s="31"/>
      <c r="P219" s="31"/>
      <c r="Q219" s="31"/>
      <c r="R219" s="31"/>
      <c r="S219" s="31"/>
      <c r="T219" s="31"/>
      <c r="U219" s="31"/>
      <c r="V219" s="31"/>
      <c r="W219" s="31"/>
      <c r="X219" s="31"/>
      <c r="Y219" s="31"/>
      <c r="Z219" s="31"/>
    </row>
    <row r="220" ht="13.5" customHeight="1">
      <c r="A220" s="38"/>
      <c r="B220" s="35" t="s">
        <v>34</v>
      </c>
      <c r="C220" s="33">
        <f>IF(C219="","",IF(AND(MONTH(C219)&gt;=1,MONTH(C219)&lt;=3),1,IF(AND(MONTH(C219)&gt;=4,MONTH(C219)&lt;=6),2,IF(AND(MONTH(C219)&gt;=7,MONTH(C219)&lt;=9),3,4))))</f>
        <v>1</v>
      </c>
      <c r="D220" s="38"/>
      <c r="E220" s="35" t="s">
        <v>35</v>
      </c>
      <c r="F220" s="37"/>
      <c r="G220" s="31"/>
      <c r="H220" s="31"/>
      <c r="I220" s="31"/>
      <c r="J220" s="31"/>
      <c r="K220" s="31"/>
      <c r="L220" s="31"/>
      <c r="M220" s="31"/>
      <c r="N220" s="31"/>
      <c r="O220" s="31"/>
      <c r="P220" s="31"/>
      <c r="Q220" s="31"/>
      <c r="R220" s="31"/>
      <c r="S220" s="31"/>
      <c r="T220" s="31"/>
      <c r="U220" s="31"/>
      <c r="V220" s="31"/>
      <c r="W220" s="31"/>
      <c r="X220" s="31"/>
      <c r="Y220" s="31"/>
      <c r="Z220" s="31"/>
    </row>
    <row r="221" ht="13.5" customHeight="1">
      <c r="A221" s="38"/>
      <c r="B221" s="35" t="s">
        <v>36</v>
      </c>
      <c r="C221" s="36">
        <v>44977.0</v>
      </c>
      <c r="D221" s="38"/>
      <c r="E221" s="35" t="s">
        <v>37</v>
      </c>
      <c r="F221" s="37"/>
      <c r="G221" s="31"/>
      <c r="H221" s="31"/>
      <c r="I221" s="31"/>
      <c r="J221" s="31"/>
      <c r="K221" s="31"/>
      <c r="L221" s="31"/>
      <c r="M221" s="31"/>
      <c r="N221" s="31"/>
      <c r="O221" s="31"/>
      <c r="P221" s="31"/>
      <c r="Q221" s="31"/>
      <c r="R221" s="31"/>
      <c r="S221" s="31"/>
      <c r="T221" s="31"/>
      <c r="U221" s="31"/>
      <c r="V221" s="31"/>
      <c r="W221" s="31"/>
      <c r="X221" s="31"/>
      <c r="Y221" s="31"/>
      <c r="Z221" s="31"/>
    </row>
    <row r="222" ht="13.5" customHeight="1">
      <c r="A222" s="39"/>
      <c r="B222" s="35" t="s">
        <v>34</v>
      </c>
      <c r="C222" s="33">
        <f>IF(C221="","",IF(AND(MONTH(C221)&gt;=1,MONTH(C221)&lt;=3),1,IF(AND(MONTH(C221)&gt;=4,MONTH(C221)&lt;=6),2,IF(AND(MONTH(C221)&gt;=7,MONTH(C221)&lt;=9),3,4))))</f>
        <v>1</v>
      </c>
      <c r="D222" s="39"/>
      <c r="E222" s="35" t="s">
        <v>38</v>
      </c>
      <c r="F222" s="37"/>
      <c r="G222" s="31"/>
      <c r="H222" s="31"/>
      <c r="I222" s="31"/>
      <c r="J222" s="31"/>
      <c r="K222" s="31"/>
      <c r="L222" s="31"/>
      <c r="M222" s="31"/>
      <c r="N222" s="31"/>
      <c r="O222" s="31"/>
      <c r="P222" s="31"/>
      <c r="Q222" s="31"/>
      <c r="R222" s="31"/>
      <c r="S222" s="31"/>
      <c r="T222" s="31"/>
      <c r="U222" s="31"/>
      <c r="V222" s="31"/>
      <c r="W222" s="31"/>
      <c r="X222" s="31"/>
      <c r="Y222" s="31"/>
      <c r="Z222" s="31"/>
    </row>
    <row r="223" ht="13.5" customHeight="1">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row>
    <row r="224" ht="13.5" customHeight="1">
      <c r="A224" s="40" t="s">
        <v>39</v>
      </c>
      <c r="B224" s="40" t="s">
        <v>40</v>
      </c>
      <c r="C224" s="40" t="s">
        <v>41</v>
      </c>
      <c r="D224" s="40" t="s">
        <v>42</v>
      </c>
      <c r="E224" s="40" t="s">
        <v>43</v>
      </c>
      <c r="F224" s="40" t="s">
        <v>44</v>
      </c>
      <c r="G224" s="31"/>
      <c r="H224" s="31"/>
      <c r="I224" s="31"/>
      <c r="J224" s="31"/>
      <c r="K224" s="31"/>
      <c r="L224" s="31"/>
      <c r="M224" s="31"/>
      <c r="N224" s="31"/>
      <c r="O224" s="31"/>
      <c r="P224" s="31"/>
      <c r="Q224" s="31"/>
      <c r="R224" s="31"/>
      <c r="S224" s="31"/>
      <c r="T224" s="31"/>
      <c r="U224" s="31"/>
      <c r="V224" s="31"/>
      <c r="W224" s="31"/>
      <c r="X224" s="31"/>
      <c r="Y224" s="31"/>
      <c r="Z224" s="31"/>
    </row>
    <row r="225" ht="13.5" customHeight="1">
      <c r="A225" s="41" t="s">
        <v>125</v>
      </c>
      <c r="B225" s="41" t="str">
        <f t="array" ref="B225">IFERROR(INDEX(#REF!,MATCH(INDIRECT(ADDRESS(ROW(),COLUMN()-1,4)),#REF!,0)),IF(INDIRECT(ADDRESS(ROW(),COLUMN()-1,4))="42192210","Sillas de ruedas",""))</f>
        <v>Sillas de ruedas</v>
      </c>
      <c r="C225" s="42" t="str">
        <f>IFERROR(VLOOKUP("UD",'Informacion '!P:Q,2,FALSE),"")</f>
        <v/>
      </c>
      <c r="D225" s="41">
        <v>100.0</v>
      </c>
      <c r="E225" s="43">
        <v>10000.0</v>
      </c>
      <c r="F225" s="43">
        <f>INDIRECT(ADDRESS(ROW(),COLUMN()-2,4))*INDIRECT(ADDRESS(ROW(),COLUMN()-1,4))</f>
        <v>1000000</v>
      </c>
      <c r="G225" s="31"/>
      <c r="H225" s="31"/>
      <c r="I225" s="31"/>
      <c r="J225" s="31"/>
      <c r="K225" s="31"/>
      <c r="L225" s="31"/>
      <c r="M225" s="31"/>
      <c r="N225" s="31"/>
      <c r="O225" s="31"/>
      <c r="P225" s="31"/>
      <c r="Q225" s="31"/>
      <c r="R225" s="31"/>
      <c r="S225" s="31"/>
      <c r="T225" s="31"/>
      <c r="U225" s="31"/>
      <c r="V225" s="31"/>
      <c r="W225" s="31"/>
      <c r="X225" s="31"/>
      <c r="Y225" s="31"/>
      <c r="Z225" s="31"/>
    </row>
    <row r="226" ht="13.5" customHeight="1">
      <c r="A226" s="31"/>
      <c r="B226" s="31"/>
      <c r="C226" s="31"/>
      <c r="D226" s="31"/>
      <c r="E226" s="44" t="s">
        <v>63</v>
      </c>
      <c r="F226" s="45">
        <f>SUM(PACC!$F$225)</f>
        <v>1000000</v>
      </c>
      <c r="G226" s="31"/>
      <c r="H226" s="31" t="str">
        <f>C218</f>
        <v>Bienes</v>
      </c>
      <c r="I226" s="31" t="str">
        <f>E218</f>
        <v>No</v>
      </c>
      <c r="J226" s="31" t="str">
        <f>D218</f>
        <v>Compras por debajo del Umbral</v>
      </c>
      <c r="K226" s="31"/>
      <c r="L226" s="31"/>
      <c r="M226" s="31"/>
      <c r="N226" s="31"/>
      <c r="O226" s="31"/>
      <c r="P226" s="31"/>
      <c r="Q226" s="31"/>
      <c r="R226" s="31"/>
      <c r="S226" s="31"/>
      <c r="T226" s="31"/>
      <c r="U226" s="31"/>
      <c r="V226" s="31"/>
      <c r="W226" s="31"/>
      <c r="X226" s="31"/>
      <c r="Y226" s="31"/>
      <c r="Z226" s="31"/>
    </row>
    <row r="227" ht="13.5" customHeight="1">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row>
    <row r="228" ht="33.75" customHeight="1">
      <c r="A228" s="32" t="s">
        <v>19</v>
      </c>
      <c r="B228" s="32" t="s">
        <v>20</v>
      </c>
      <c r="C228" s="32" t="s">
        <v>21</v>
      </c>
      <c r="D228" s="32" t="s">
        <v>22</v>
      </c>
      <c r="E228" s="32" t="s">
        <v>23</v>
      </c>
      <c r="F228" s="32" t="s">
        <v>24</v>
      </c>
      <c r="G228" s="31"/>
      <c r="H228" s="31"/>
      <c r="I228" s="31"/>
      <c r="J228" s="31"/>
      <c r="K228" s="31"/>
      <c r="L228" s="31"/>
      <c r="M228" s="31"/>
      <c r="N228" s="31"/>
      <c r="O228" s="31"/>
      <c r="P228" s="31"/>
      <c r="Q228" s="31"/>
      <c r="R228" s="31"/>
      <c r="S228" s="31"/>
      <c r="T228" s="31"/>
      <c r="U228" s="31"/>
      <c r="V228" s="31"/>
      <c r="W228" s="31"/>
      <c r="X228" s="31"/>
      <c r="Y228" s="31"/>
      <c r="Z228" s="31"/>
    </row>
    <row r="229" ht="13.5" customHeight="1">
      <c r="A229" s="33" t="s">
        <v>126</v>
      </c>
      <c r="B229" s="33" t="s">
        <v>127</v>
      </c>
      <c r="C229" s="33" t="s">
        <v>27</v>
      </c>
      <c r="D229" s="33" t="s">
        <v>124</v>
      </c>
      <c r="E229" s="33" t="s">
        <v>67</v>
      </c>
      <c r="F229" s="33"/>
      <c r="G229" s="31"/>
      <c r="H229" s="31"/>
      <c r="I229" s="31"/>
      <c r="J229" s="31"/>
      <c r="K229" s="31"/>
      <c r="L229" s="31"/>
      <c r="M229" s="31"/>
      <c r="N229" s="31"/>
      <c r="O229" s="31"/>
      <c r="P229" s="31"/>
      <c r="Q229" s="31"/>
      <c r="R229" s="31"/>
      <c r="S229" s="31"/>
      <c r="T229" s="31"/>
      <c r="U229" s="31"/>
      <c r="V229" s="31"/>
      <c r="W229" s="31"/>
      <c r="X229" s="31"/>
      <c r="Y229" s="31"/>
      <c r="Z229" s="31"/>
    </row>
    <row r="230" ht="13.5" customHeight="1">
      <c r="A230" s="34" t="s">
        <v>30</v>
      </c>
      <c r="B230" s="35" t="s">
        <v>31</v>
      </c>
      <c r="C230" s="36">
        <v>44966.0</v>
      </c>
      <c r="D230" s="34" t="s">
        <v>32</v>
      </c>
      <c r="E230" s="35" t="s">
        <v>33</v>
      </c>
      <c r="F230" s="37"/>
      <c r="G230" s="31"/>
      <c r="H230" s="31"/>
      <c r="I230" s="31"/>
      <c r="J230" s="31"/>
      <c r="K230" s="31"/>
      <c r="L230" s="31"/>
      <c r="M230" s="31"/>
      <c r="N230" s="31"/>
      <c r="O230" s="31"/>
      <c r="P230" s="31"/>
      <c r="Q230" s="31"/>
      <c r="R230" s="31"/>
      <c r="S230" s="31"/>
      <c r="T230" s="31"/>
      <c r="U230" s="31"/>
      <c r="V230" s="31"/>
      <c r="W230" s="31"/>
      <c r="X230" s="31"/>
      <c r="Y230" s="31"/>
      <c r="Z230" s="31"/>
    </row>
    <row r="231" ht="13.5" customHeight="1">
      <c r="A231" s="38"/>
      <c r="B231" s="35" t="s">
        <v>34</v>
      </c>
      <c r="C231" s="33">
        <f>IF(C230="","",IF(AND(MONTH(C230)&gt;=1,MONTH(C230)&lt;=3),1,IF(AND(MONTH(C230)&gt;=4,MONTH(C230)&lt;=6),2,IF(AND(MONTH(C230)&gt;=7,MONTH(C230)&lt;=9),3,4))))</f>
        <v>1</v>
      </c>
      <c r="D231" s="38"/>
      <c r="E231" s="35" t="s">
        <v>35</v>
      </c>
      <c r="F231" s="37"/>
      <c r="G231" s="31"/>
      <c r="H231" s="31"/>
      <c r="I231" s="31"/>
      <c r="J231" s="31"/>
      <c r="K231" s="31"/>
      <c r="L231" s="31"/>
      <c r="M231" s="31"/>
      <c r="N231" s="31"/>
      <c r="O231" s="31"/>
      <c r="P231" s="31"/>
      <c r="Q231" s="31"/>
      <c r="R231" s="31"/>
      <c r="S231" s="31"/>
      <c r="T231" s="31"/>
      <c r="U231" s="31"/>
      <c r="V231" s="31"/>
      <c r="W231" s="31"/>
      <c r="X231" s="31"/>
      <c r="Y231" s="31"/>
      <c r="Z231" s="31"/>
    </row>
    <row r="232" ht="13.5" customHeight="1">
      <c r="A232" s="38"/>
      <c r="B232" s="35" t="s">
        <v>36</v>
      </c>
      <c r="C232" s="36">
        <v>44971.0</v>
      </c>
      <c r="D232" s="38"/>
      <c r="E232" s="35" t="s">
        <v>37</v>
      </c>
      <c r="F232" s="37"/>
      <c r="G232" s="31"/>
      <c r="H232" s="31"/>
      <c r="I232" s="31"/>
      <c r="J232" s="31"/>
      <c r="K232" s="31"/>
      <c r="L232" s="31"/>
      <c r="M232" s="31"/>
      <c r="N232" s="31"/>
      <c r="O232" s="31"/>
      <c r="P232" s="31"/>
      <c r="Q232" s="31"/>
      <c r="R232" s="31"/>
      <c r="S232" s="31"/>
      <c r="T232" s="31"/>
      <c r="U232" s="31"/>
      <c r="V232" s="31"/>
      <c r="W232" s="31"/>
      <c r="X232" s="31"/>
      <c r="Y232" s="31"/>
      <c r="Z232" s="31"/>
    </row>
    <row r="233" ht="13.5" customHeight="1">
      <c r="A233" s="39"/>
      <c r="B233" s="35" t="s">
        <v>34</v>
      </c>
      <c r="C233" s="33">
        <f>IF(C232="","",IF(AND(MONTH(C232)&gt;=1,MONTH(C232)&lt;=3),1,IF(AND(MONTH(C232)&gt;=4,MONTH(C232)&lt;=6),2,IF(AND(MONTH(C232)&gt;=7,MONTH(C232)&lt;=9),3,4))))</f>
        <v>1</v>
      </c>
      <c r="D233" s="39"/>
      <c r="E233" s="35" t="s">
        <v>38</v>
      </c>
      <c r="F233" s="37"/>
      <c r="G233" s="31"/>
      <c r="H233" s="31"/>
      <c r="I233" s="31"/>
      <c r="J233" s="31"/>
      <c r="K233" s="31"/>
      <c r="L233" s="31"/>
      <c r="M233" s="31"/>
      <c r="N233" s="31"/>
      <c r="O233" s="31"/>
      <c r="P233" s="31"/>
      <c r="Q233" s="31"/>
      <c r="R233" s="31"/>
      <c r="S233" s="31"/>
      <c r="T233" s="31"/>
      <c r="U233" s="31"/>
      <c r="V233" s="31"/>
      <c r="W233" s="31"/>
      <c r="X233" s="31"/>
      <c r="Y233" s="31"/>
      <c r="Z233" s="31"/>
    </row>
    <row r="234" ht="13.5" customHeight="1">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row>
    <row r="235" ht="13.5" customHeight="1">
      <c r="A235" s="40" t="s">
        <v>39</v>
      </c>
      <c r="B235" s="40" t="s">
        <v>40</v>
      </c>
      <c r="C235" s="40" t="s">
        <v>41</v>
      </c>
      <c r="D235" s="40" t="s">
        <v>42</v>
      </c>
      <c r="E235" s="40" t="s">
        <v>43</v>
      </c>
      <c r="F235" s="40" t="s">
        <v>44</v>
      </c>
      <c r="G235" s="31"/>
      <c r="H235" s="31"/>
      <c r="I235" s="31"/>
      <c r="J235" s="31"/>
      <c r="K235" s="31"/>
      <c r="L235" s="31"/>
      <c r="M235" s="31"/>
      <c r="N235" s="31"/>
      <c r="O235" s="31"/>
      <c r="P235" s="31"/>
      <c r="Q235" s="31"/>
      <c r="R235" s="31"/>
      <c r="S235" s="31"/>
      <c r="T235" s="31"/>
      <c r="U235" s="31"/>
      <c r="V235" s="31"/>
      <c r="W235" s="31"/>
      <c r="X235" s="31"/>
      <c r="Y235" s="31"/>
      <c r="Z235" s="31"/>
    </row>
    <row r="236" ht="13.5" customHeight="1">
      <c r="A236" s="41" t="s">
        <v>128</v>
      </c>
      <c r="B236" s="41" t="str">
        <f t="array" ref="B236">IFERROR(INDEX(#REF!,MATCH(INDIRECT(ADDRESS(ROW(),COLUMN()-1,4)),#REF!,0)),IF(INDIRECT(ADDRESS(ROW(),COLUMN()-1,4))="10161707","Arreglo de flores cortadas",""))</f>
        <v>Arreglo de flores cortadas</v>
      </c>
      <c r="C236" s="42" t="str">
        <f>IFERROR(VLOOKUP("UD",'Informacion '!P:Q,2,FALSE),"")</f>
        <v/>
      </c>
      <c r="D236" s="41">
        <v>1.0</v>
      </c>
      <c r="E236" s="43">
        <v>200000.0</v>
      </c>
      <c r="F236" s="43">
        <f>INDIRECT(ADDRESS(ROW(),COLUMN()-2,4))*INDIRECT(ADDRESS(ROW(),COLUMN()-1,4))</f>
        <v>200000</v>
      </c>
      <c r="G236" s="31"/>
      <c r="H236" s="31"/>
      <c r="I236" s="31"/>
      <c r="J236" s="31"/>
      <c r="K236" s="31"/>
      <c r="L236" s="31"/>
      <c r="M236" s="31"/>
      <c r="N236" s="31"/>
      <c r="O236" s="31"/>
      <c r="P236" s="31"/>
      <c r="Q236" s="31"/>
      <c r="R236" s="31"/>
      <c r="S236" s="31"/>
      <c r="T236" s="31"/>
      <c r="U236" s="31"/>
      <c r="V236" s="31"/>
      <c r="W236" s="31"/>
      <c r="X236" s="31"/>
      <c r="Y236" s="31"/>
      <c r="Z236" s="31"/>
    </row>
    <row r="237" ht="13.5" customHeight="1">
      <c r="A237" s="31"/>
      <c r="B237" s="31"/>
      <c r="C237" s="31"/>
      <c r="D237" s="31"/>
      <c r="E237" s="44" t="s">
        <v>63</v>
      </c>
      <c r="F237" s="45">
        <f>SUM(PACC!$F$236)</f>
        <v>200000</v>
      </c>
      <c r="G237" s="31"/>
      <c r="H237" s="31" t="str">
        <f>C229</f>
        <v>Bienes</v>
      </c>
      <c r="I237" s="31" t="str">
        <f>E229</f>
        <v>No</v>
      </c>
      <c r="J237" s="31" t="str">
        <f>D229</f>
        <v>Compras por debajo del Umbral</v>
      </c>
      <c r="K237" s="31"/>
      <c r="L237" s="31"/>
      <c r="M237" s="31"/>
      <c r="N237" s="31"/>
      <c r="O237" s="31"/>
      <c r="P237" s="31"/>
      <c r="Q237" s="31"/>
      <c r="R237" s="31"/>
      <c r="S237" s="31"/>
      <c r="T237" s="31"/>
      <c r="U237" s="31"/>
      <c r="V237" s="31"/>
      <c r="W237" s="31"/>
      <c r="X237" s="31"/>
      <c r="Y237" s="31"/>
      <c r="Z237" s="31"/>
    </row>
    <row r="238" ht="13.5" customHeight="1">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row>
    <row r="239" ht="33.75" customHeight="1">
      <c r="A239" s="32" t="s">
        <v>19</v>
      </c>
      <c r="B239" s="32" t="s">
        <v>20</v>
      </c>
      <c r="C239" s="32" t="s">
        <v>21</v>
      </c>
      <c r="D239" s="32" t="s">
        <v>22</v>
      </c>
      <c r="E239" s="32" t="s">
        <v>23</v>
      </c>
      <c r="F239" s="32" t="s">
        <v>24</v>
      </c>
      <c r="G239" s="31"/>
      <c r="H239" s="31"/>
      <c r="I239" s="31"/>
      <c r="J239" s="31"/>
      <c r="K239" s="31"/>
      <c r="L239" s="31"/>
      <c r="M239" s="31"/>
      <c r="N239" s="31"/>
      <c r="O239" s="31"/>
      <c r="P239" s="31"/>
      <c r="Q239" s="31"/>
      <c r="R239" s="31"/>
      <c r="S239" s="31"/>
      <c r="T239" s="31"/>
      <c r="U239" s="31"/>
      <c r="V239" s="31"/>
      <c r="W239" s="31"/>
      <c r="X239" s="31"/>
      <c r="Y239" s="31"/>
      <c r="Z239" s="31"/>
    </row>
    <row r="240" ht="13.5" customHeight="1">
      <c r="A240" s="33" t="s">
        <v>129</v>
      </c>
      <c r="B240" s="33" t="s">
        <v>130</v>
      </c>
      <c r="C240" s="33" t="s">
        <v>95</v>
      </c>
      <c r="D240" s="33" t="s">
        <v>124</v>
      </c>
      <c r="E240" s="33" t="s">
        <v>67</v>
      </c>
      <c r="F240" s="33"/>
      <c r="G240" s="31"/>
      <c r="H240" s="31"/>
      <c r="I240" s="31"/>
      <c r="J240" s="31"/>
      <c r="K240" s="31"/>
      <c r="L240" s="31"/>
      <c r="M240" s="31"/>
      <c r="N240" s="31"/>
      <c r="O240" s="31"/>
      <c r="P240" s="31"/>
      <c r="Q240" s="31"/>
      <c r="R240" s="31"/>
      <c r="S240" s="31"/>
      <c r="T240" s="31"/>
      <c r="U240" s="31"/>
      <c r="V240" s="31"/>
      <c r="W240" s="31"/>
      <c r="X240" s="31"/>
      <c r="Y240" s="31"/>
      <c r="Z240" s="31"/>
    </row>
    <row r="241" ht="13.5" customHeight="1">
      <c r="A241" s="34" t="s">
        <v>30</v>
      </c>
      <c r="B241" s="35" t="s">
        <v>31</v>
      </c>
      <c r="C241" s="36">
        <v>44988.0</v>
      </c>
      <c r="D241" s="34" t="s">
        <v>32</v>
      </c>
      <c r="E241" s="35" t="s">
        <v>33</v>
      </c>
      <c r="F241" s="37"/>
      <c r="G241" s="31"/>
      <c r="H241" s="31"/>
      <c r="I241" s="31"/>
      <c r="J241" s="31"/>
      <c r="K241" s="31"/>
      <c r="L241" s="31"/>
      <c r="M241" s="31"/>
      <c r="N241" s="31"/>
      <c r="O241" s="31"/>
      <c r="P241" s="31"/>
      <c r="Q241" s="31"/>
      <c r="R241" s="31"/>
      <c r="S241" s="31"/>
      <c r="T241" s="31"/>
      <c r="U241" s="31"/>
      <c r="V241" s="31"/>
      <c r="W241" s="31"/>
      <c r="X241" s="31"/>
      <c r="Y241" s="31"/>
      <c r="Z241" s="31"/>
    </row>
    <row r="242" ht="13.5" customHeight="1">
      <c r="A242" s="38"/>
      <c r="B242" s="35" t="s">
        <v>34</v>
      </c>
      <c r="C242" s="33">
        <f>IF(C241="","",IF(AND(MONTH(C241)&gt;=1,MONTH(C241)&lt;=3),1,IF(AND(MONTH(C241)&gt;=4,MONTH(C241)&lt;=6),2,IF(AND(MONTH(C241)&gt;=7,MONTH(C241)&lt;=9),3,4))))</f>
        <v>1</v>
      </c>
      <c r="D242" s="38"/>
      <c r="E242" s="35" t="s">
        <v>35</v>
      </c>
      <c r="F242" s="37"/>
      <c r="G242" s="31"/>
      <c r="H242" s="31"/>
      <c r="I242" s="31"/>
      <c r="J242" s="31"/>
      <c r="K242" s="31"/>
      <c r="L242" s="31"/>
      <c r="M242" s="31"/>
      <c r="N242" s="31"/>
      <c r="O242" s="31"/>
      <c r="P242" s="31"/>
      <c r="Q242" s="31"/>
      <c r="R242" s="31"/>
      <c r="S242" s="31"/>
      <c r="T242" s="31"/>
      <c r="U242" s="31"/>
      <c r="V242" s="31"/>
      <c r="W242" s="31"/>
      <c r="X242" s="31"/>
      <c r="Y242" s="31"/>
      <c r="Z242" s="31"/>
    </row>
    <row r="243" ht="13.5" customHeight="1">
      <c r="A243" s="38"/>
      <c r="B243" s="35" t="s">
        <v>36</v>
      </c>
      <c r="C243" s="36">
        <v>44992.0</v>
      </c>
      <c r="D243" s="38"/>
      <c r="E243" s="35" t="s">
        <v>37</v>
      </c>
      <c r="F243" s="37"/>
      <c r="G243" s="31"/>
      <c r="H243" s="31"/>
      <c r="I243" s="31"/>
      <c r="J243" s="31"/>
      <c r="K243" s="31"/>
      <c r="L243" s="31"/>
      <c r="M243" s="31"/>
      <c r="N243" s="31"/>
      <c r="O243" s="31"/>
      <c r="P243" s="31"/>
      <c r="Q243" s="31"/>
      <c r="R243" s="31"/>
      <c r="S243" s="31"/>
      <c r="T243" s="31"/>
      <c r="U243" s="31"/>
      <c r="V243" s="31"/>
      <c r="W243" s="31"/>
      <c r="X243" s="31"/>
      <c r="Y243" s="31"/>
      <c r="Z243" s="31"/>
    </row>
    <row r="244" ht="13.5" customHeight="1">
      <c r="A244" s="39"/>
      <c r="B244" s="35" t="s">
        <v>34</v>
      </c>
      <c r="C244" s="33">
        <f>IF(C243="","",IF(AND(MONTH(C243)&gt;=1,MONTH(C243)&lt;=3),1,IF(AND(MONTH(C243)&gt;=4,MONTH(C243)&lt;=6),2,IF(AND(MONTH(C243)&gt;=7,MONTH(C243)&lt;=9),3,4))))</f>
        <v>1</v>
      </c>
      <c r="D244" s="39"/>
      <c r="E244" s="35" t="s">
        <v>38</v>
      </c>
      <c r="F244" s="37"/>
      <c r="G244" s="31"/>
      <c r="H244" s="31"/>
      <c r="I244" s="31"/>
      <c r="J244" s="31"/>
      <c r="K244" s="31"/>
      <c r="L244" s="31"/>
      <c r="M244" s="31"/>
      <c r="N244" s="31"/>
      <c r="O244" s="31"/>
      <c r="P244" s="31"/>
      <c r="Q244" s="31"/>
      <c r="R244" s="31"/>
      <c r="S244" s="31"/>
      <c r="T244" s="31"/>
      <c r="U244" s="31"/>
      <c r="V244" s="31"/>
      <c r="W244" s="31"/>
      <c r="X244" s="31"/>
      <c r="Y244" s="31"/>
      <c r="Z244" s="31"/>
    </row>
    <row r="245" ht="13.5" customHeight="1">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row>
    <row r="246" ht="13.5" customHeight="1">
      <c r="A246" s="40" t="s">
        <v>39</v>
      </c>
      <c r="B246" s="40" t="s">
        <v>40</v>
      </c>
      <c r="C246" s="40" t="s">
        <v>41</v>
      </c>
      <c r="D246" s="40" t="s">
        <v>42</v>
      </c>
      <c r="E246" s="40" t="s">
        <v>43</v>
      </c>
      <c r="F246" s="40" t="s">
        <v>44</v>
      </c>
      <c r="G246" s="31"/>
      <c r="H246" s="31"/>
      <c r="I246" s="31"/>
      <c r="J246" s="31"/>
      <c r="K246" s="31"/>
      <c r="L246" s="31"/>
      <c r="M246" s="31"/>
      <c r="N246" s="31"/>
      <c r="O246" s="31"/>
      <c r="P246" s="31"/>
      <c r="Q246" s="31"/>
      <c r="R246" s="31"/>
      <c r="S246" s="31"/>
      <c r="T246" s="31"/>
      <c r="U246" s="31"/>
      <c r="V246" s="31"/>
      <c r="W246" s="31"/>
      <c r="X246" s="31"/>
      <c r="Y246" s="31"/>
      <c r="Z246" s="31"/>
    </row>
    <row r="247" ht="13.5" customHeight="1">
      <c r="A247" s="41" t="s">
        <v>131</v>
      </c>
      <c r="B247" s="41" t="str">
        <f t="array" ref="B247">IFERROR(INDEX(#REF!,MATCH(INDIRECT(ADDRESS(ROW(),COLUMN()-1,4)),#REF!,0)),IF(INDIRECT(ADDRESS(ROW(),COLUMN()-1,4))="72102103","Servicios de exterminación o fumigación",""))</f>
        <v>Servicios de exterminación o fumigación</v>
      </c>
      <c r="C247" s="42" t="str">
        <f>IFERROR(VLOOKUP("UD",'Informacion '!P:Q,2,FALSE),"")</f>
        <v/>
      </c>
      <c r="D247" s="41">
        <v>1.0</v>
      </c>
      <c r="E247" s="43">
        <v>145000.0</v>
      </c>
      <c r="F247" s="43">
        <f>INDIRECT(ADDRESS(ROW(),COLUMN()-2,4))*INDIRECT(ADDRESS(ROW(),COLUMN()-1,4))</f>
        <v>145000</v>
      </c>
      <c r="G247" s="31"/>
      <c r="H247" s="31"/>
      <c r="I247" s="31"/>
      <c r="J247" s="31"/>
      <c r="K247" s="31"/>
      <c r="L247" s="31"/>
      <c r="M247" s="31"/>
      <c r="N247" s="31"/>
      <c r="O247" s="31"/>
      <c r="P247" s="31"/>
      <c r="Q247" s="31"/>
      <c r="R247" s="31"/>
      <c r="S247" s="31"/>
      <c r="T247" s="31"/>
      <c r="U247" s="31"/>
      <c r="V247" s="31"/>
      <c r="W247" s="31"/>
      <c r="X247" s="31"/>
      <c r="Y247" s="31"/>
      <c r="Z247" s="31"/>
    </row>
    <row r="248" ht="13.5" customHeight="1">
      <c r="A248" s="31"/>
      <c r="B248" s="31"/>
      <c r="C248" s="31"/>
      <c r="D248" s="31"/>
      <c r="E248" s="44" t="s">
        <v>63</v>
      </c>
      <c r="F248" s="45">
        <f>SUM(PACC!$F$247)</f>
        <v>145000</v>
      </c>
      <c r="G248" s="31"/>
      <c r="H248" s="31" t="str">
        <f>C240</f>
        <v>Servicios</v>
      </c>
      <c r="I248" s="31" t="str">
        <f>E240</f>
        <v>No</v>
      </c>
      <c r="J248" s="31" t="str">
        <f>D240</f>
        <v>Compras por debajo del Umbral</v>
      </c>
      <c r="K248" s="31"/>
      <c r="L248" s="31"/>
      <c r="M248" s="31"/>
      <c r="N248" s="31"/>
      <c r="O248" s="31"/>
      <c r="P248" s="31"/>
      <c r="Q248" s="31"/>
      <c r="R248" s="31"/>
      <c r="S248" s="31"/>
      <c r="T248" s="31"/>
      <c r="U248" s="31"/>
      <c r="V248" s="31"/>
      <c r="W248" s="31"/>
      <c r="X248" s="31"/>
      <c r="Y248" s="31"/>
      <c r="Z248" s="31"/>
    </row>
    <row r="249" ht="13.5" customHeight="1">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row>
    <row r="250" ht="33.75" customHeight="1">
      <c r="A250" s="32" t="s">
        <v>19</v>
      </c>
      <c r="B250" s="32" t="s">
        <v>20</v>
      </c>
      <c r="C250" s="32" t="s">
        <v>21</v>
      </c>
      <c r="D250" s="32" t="s">
        <v>22</v>
      </c>
      <c r="E250" s="32" t="s">
        <v>23</v>
      </c>
      <c r="F250" s="32" t="s">
        <v>24</v>
      </c>
      <c r="G250" s="31"/>
      <c r="H250" s="31"/>
      <c r="I250" s="31"/>
      <c r="J250" s="31"/>
      <c r="K250" s="31"/>
      <c r="L250" s="31"/>
      <c r="M250" s="31"/>
      <c r="N250" s="31"/>
      <c r="O250" s="31"/>
      <c r="P250" s="31"/>
      <c r="Q250" s="31"/>
      <c r="R250" s="31"/>
      <c r="S250" s="31"/>
      <c r="T250" s="31"/>
      <c r="U250" s="31"/>
      <c r="V250" s="31"/>
      <c r="W250" s="31"/>
      <c r="X250" s="31"/>
      <c r="Y250" s="31"/>
      <c r="Z250" s="31"/>
    </row>
    <row r="251" ht="13.5" customHeight="1">
      <c r="A251" s="33" t="s">
        <v>132</v>
      </c>
      <c r="B251" s="33" t="s">
        <v>133</v>
      </c>
      <c r="C251" s="33" t="s">
        <v>95</v>
      </c>
      <c r="D251" s="33" t="s">
        <v>124</v>
      </c>
      <c r="E251" s="33" t="s">
        <v>67</v>
      </c>
      <c r="F251" s="33"/>
      <c r="G251" s="31"/>
      <c r="H251" s="31"/>
      <c r="I251" s="31"/>
      <c r="J251" s="31"/>
      <c r="K251" s="31"/>
      <c r="L251" s="31"/>
      <c r="M251" s="31"/>
      <c r="N251" s="31"/>
      <c r="O251" s="31"/>
      <c r="P251" s="31"/>
      <c r="Q251" s="31"/>
      <c r="R251" s="31"/>
      <c r="S251" s="31"/>
      <c r="T251" s="31"/>
      <c r="U251" s="31"/>
      <c r="V251" s="31"/>
      <c r="W251" s="31"/>
      <c r="X251" s="31"/>
      <c r="Y251" s="31"/>
      <c r="Z251" s="31"/>
    </row>
    <row r="252" ht="13.5" customHeight="1">
      <c r="A252" s="34" t="s">
        <v>30</v>
      </c>
      <c r="B252" s="35" t="s">
        <v>31</v>
      </c>
      <c r="C252" s="36">
        <v>45005.0</v>
      </c>
      <c r="D252" s="34" t="s">
        <v>32</v>
      </c>
      <c r="E252" s="35" t="s">
        <v>33</v>
      </c>
      <c r="F252" s="37"/>
      <c r="G252" s="31"/>
      <c r="H252" s="31"/>
      <c r="I252" s="31"/>
      <c r="J252" s="31"/>
      <c r="K252" s="31"/>
      <c r="L252" s="31"/>
      <c r="M252" s="31"/>
      <c r="N252" s="31"/>
      <c r="O252" s="31"/>
      <c r="P252" s="31"/>
      <c r="Q252" s="31"/>
      <c r="R252" s="31"/>
      <c r="S252" s="31"/>
      <c r="T252" s="31"/>
      <c r="U252" s="31"/>
      <c r="V252" s="31"/>
      <c r="W252" s="31"/>
      <c r="X252" s="31"/>
      <c r="Y252" s="31"/>
      <c r="Z252" s="31"/>
    </row>
    <row r="253" ht="13.5" customHeight="1">
      <c r="A253" s="38"/>
      <c r="B253" s="35" t="s">
        <v>34</v>
      </c>
      <c r="C253" s="33">
        <f>IF(C252="","",IF(AND(MONTH(C252)&gt;=1,MONTH(C252)&lt;=3),1,IF(AND(MONTH(C252)&gt;=4,MONTH(C252)&lt;=6),2,IF(AND(MONTH(C252)&gt;=7,MONTH(C252)&lt;=9),3,4))))</f>
        <v>1</v>
      </c>
      <c r="D253" s="38"/>
      <c r="E253" s="35" t="s">
        <v>35</v>
      </c>
      <c r="F253" s="37"/>
      <c r="G253" s="31"/>
      <c r="H253" s="31"/>
      <c r="I253" s="31"/>
      <c r="J253" s="31"/>
      <c r="K253" s="31"/>
      <c r="L253" s="31"/>
      <c r="M253" s="31"/>
      <c r="N253" s="31"/>
      <c r="O253" s="31"/>
      <c r="P253" s="31"/>
      <c r="Q253" s="31"/>
      <c r="R253" s="31"/>
      <c r="S253" s="31"/>
      <c r="T253" s="31"/>
      <c r="U253" s="31"/>
      <c r="V253" s="31"/>
      <c r="W253" s="31"/>
      <c r="X253" s="31"/>
      <c r="Y253" s="31"/>
      <c r="Z253" s="31"/>
    </row>
    <row r="254" ht="13.5" customHeight="1">
      <c r="A254" s="38"/>
      <c r="B254" s="35" t="s">
        <v>36</v>
      </c>
      <c r="C254" s="36">
        <v>45007.0</v>
      </c>
      <c r="D254" s="38"/>
      <c r="E254" s="35" t="s">
        <v>37</v>
      </c>
      <c r="F254" s="37"/>
      <c r="G254" s="31"/>
      <c r="H254" s="31"/>
      <c r="I254" s="31"/>
      <c r="J254" s="31"/>
      <c r="K254" s="31"/>
      <c r="L254" s="31"/>
      <c r="M254" s="31"/>
      <c r="N254" s="31"/>
      <c r="O254" s="31"/>
      <c r="P254" s="31"/>
      <c r="Q254" s="31"/>
      <c r="R254" s="31"/>
      <c r="S254" s="31"/>
      <c r="T254" s="31"/>
      <c r="U254" s="31"/>
      <c r="V254" s="31"/>
      <c r="W254" s="31"/>
      <c r="X254" s="31"/>
      <c r="Y254" s="31"/>
      <c r="Z254" s="31"/>
    </row>
    <row r="255" ht="13.5" customHeight="1">
      <c r="A255" s="39"/>
      <c r="B255" s="35" t="s">
        <v>34</v>
      </c>
      <c r="C255" s="33">
        <f>IF(C254="","",IF(AND(MONTH(C254)&gt;=1,MONTH(C254)&lt;=3),1,IF(AND(MONTH(C254)&gt;=4,MONTH(C254)&lt;=6),2,IF(AND(MONTH(C254)&gt;=7,MONTH(C254)&lt;=9),3,4))))</f>
        <v>1</v>
      </c>
      <c r="D255" s="39"/>
      <c r="E255" s="35" t="s">
        <v>38</v>
      </c>
      <c r="F255" s="37"/>
      <c r="G255" s="31"/>
      <c r="H255" s="31"/>
      <c r="I255" s="31"/>
      <c r="J255" s="31"/>
      <c r="K255" s="31"/>
      <c r="L255" s="31"/>
      <c r="M255" s="31"/>
      <c r="N255" s="31"/>
      <c r="O255" s="31"/>
      <c r="P255" s="31"/>
      <c r="Q255" s="31"/>
      <c r="R255" s="31"/>
      <c r="S255" s="31"/>
      <c r="T255" s="31"/>
      <c r="U255" s="31"/>
      <c r="V255" s="31"/>
      <c r="W255" s="31"/>
      <c r="X255" s="31"/>
      <c r="Y255" s="31"/>
      <c r="Z255" s="31"/>
    </row>
    <row r="256" ht="13.5" customHeight="1">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row>
    <row r="257" ht="13.5" customHeight="1">
      <c r="A257" s="40" t="s">
        <v>39</v>
      </c>
      <c r="B257" s="40" t="s">
        <v>40</v>
      </c>
      <c r="C257" s="40" t="s">
        <v>41</v>
      </c>
      <c r="D257" s="40" t="s">
        <v>42</v>
      </c>
      <c r="E257" s="40" t="s">
        <v>43</v>
      </c>
      <c r="F257" s="40" t="s">
        <v>44</v>
      </c>
      <c r="G257" s="31"/>
      <c r="H257" s="31"/>
      <c r="I257" s="31"/>
      <c r="J257" s="31"/>
      <c r="K257" s="31"/>
      <c r="L257" s="31"/>
      <c r="M257" s="31"/>
      <c r="N257" s="31"/>
      <c r="O257" s="31"/>
      <c r="P257" s="31"/>
      <c r="Q257" s="31"/>
      <c r="R257" s="31"/>
      <c r="S257" s="31"/>
      <c r="T257" s="31"/>
      <c r="U257" s="31"/>
      <c r="V257" s="31"/>
      <c r="W257" s="31"/>
      <c r="X257" s="31"/>
      <c r="Y257" s="31"/>
      <c r="Z257" s="31"/>
    </row>
    <row r="258" ht="13.5" customHeight="1">
      <c r="A258" s="41" t="s">
        <v>134</v>
      </c>
      <c r="B258" s="41" t="str">
        <f t="array" ref="B258">IFERROR(INDEX(#REF!,MATCH(INDIRECT(ADDRESS(ROW(),COLUMN()-1,4)),#REF!,0)),IF(INDIRECT(ADDRESS(ROW(),COLUMN()-1,4))="73152101","Servicio de mantenimiento de equipo industrial",""))</f>
        <v>Servicio de mantenimiento de equipo industrial</v>
      </c>
      <c r="C258" s="42" t="str">
        <f>IFERROR(VLOOKUP("UD",'Informacion '!P:Q,2,FALSE),"")</f>
        <v/>
      </c>
      <c r="D258" s="41">
        <v>1.0</v>
      </c>
      <c r="E258" s="43">
        <v>50000.0</v>
      </c>
      <c r="F258" s="43">
        <f>INDIRECT(ADDRESS(ROW(),COLUMN()-2,4))*INDIRECT(ADDRESS(ROW(),COLUMN()-1,4))</f>
        <v>50000</v>
      </c>
      <c r="G258" s="31"/>
      <c r="H258" s="31"/>
      <c r="I258" s="31"/>
      <c r="J258" s="31"/>
      <c r="K258" s="31"/>
      <c r="L258" s="31"/>
      <c r="M258" s="31"/>
      <c r="N258" s="31"/>
      <c r="O258" s="31"/>
      <c r="P258" s="31"/>
      <c r="Q258" s="31"/>
      <c r="R258" s="31"/>
      <c r="S258" s="31"/>
      <c r="T258" s="31"/>
      <c r="U258" s="31"/>
      <c r="V258" s="31"/>
      <c r="W258" s="31"/>
      <c r="X258" s="31"/>
      <c r="Y258" s="31"/>
      <c r="Z258" s="31"/>
    </row>
    <row r="259" ht="13.5" customHeight="1">
      <c r="A259" s="31"/>
      <c r="B259" s="31"/>
      <c r="C259" s="31"/>
      <c r="D259" s="31"/>
      <c r="E259" s="44" t="s">
        <v>63</v>
      </c>
      <c r="F259" s="45">
        <f>SUM(PACC!$F$258)</f>
        <v>50000</v>
      </c>
      <c r="G259" s="31"/>
      <c r="H259" s="31" t="str">
        <f>C251</f>
        <v>Servicios</v>
      </c>
      <c r="I259" s="31" t="str">
        <f>E251</f>
        <v>No</v>
      </c>
      <c r="J259" s="31" t="str">
        <f>D251</f>
        <v>Compras por debajo del Umbral</v>
      </c>
      <c r="K259" s="31"/>
      <c r="L259" s="31"/>
      <c r="M259" s="31"/>
      <c r="N259" s="31"/>
      <c r="O259" s="31"/>
      <c r="P259" s="31"/>
      <c r="Q259" s="31"/>
      <c r="R259" s="31"/>
      <c r="S259" s="31"/>
      <c r="T259" s="31"/>
      <c r="U259" s="31"/>
      <c r="V259" s="31"/>
      <c r="W259" s="31"/>
      <c r="X259" s="31"/>
      <c r="Y259" s="31"/>
      <c r="Z259" s="31"/>
    </row>
    <row r="260" ht="13.5" customHeight="1">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row>
    <row r="261" ht="33.75" customHeight="1">
      <c r="A261" s="32" t="s">
        <v>19</v>
      </c>
      <c r="B261" s="32" t="s">
        <v>20</v>
      </c>
      <c r="C261" s="32" t="s">
        <v>21</v>
      </c>
      <c r="D261" s="32" t="s">
        <v>22</v>
      </c>
      <c r="E261" s="32" t="s">
        <v>23</v>
      </c>
      <c r="F261" s="32" t="s">
        <v>24</v>
      </c>
      <c r="G261" s="31"/>
      <c r="H261" s="31"/>
      <c r="I261" s="31"/>
      <c r="J261" s="31"/>
      <c r="K261" s="31"/>
      <c r="L261" s="31"/>
      <c r="M261" s="31"/>
      <c r="N261" s="31"/>
      <c r="O261" s="31"/>
      <c r="P261" s="31"/>
      <c r="Q261" s="31"/>
      <c r="R261" s="31"/>
      <c r="S261" s="31"/>
      <c r="T261" s="31"/>
      <c r="U261" s="31"/>
      <c r="V261" s="31"/>
      <c r="W261" s="31"/>
      <c r="X261" s="31"/>
      <c r="Y261" s="31"/>
      <c r="Z261" s="31"/>
    </row>
    <row r="262" ht="13.5" customHeight="1">
      <c r="A262" s="33" t="s">
        <v>135</v>
      </c>
      <c r="B262" s="33" t="s">
        <v>136</v>
      </c>
      <c r="C262" s="33" t="s">
        <v>27</v>
      </c>
      <c r="D262" s="33" t="s">
        <v>124</v>
      </c>
      <c r="E262" s="33" t="s">
        <v>67</v>
      </c>
      <c r="F262" s="33"/>
      <c r="G262" s="31"/>
      <c r="H262" s="31"/>
      <c r="I262" s="31"/>
      <c r="J262" s="31"/>
      <c r="K262" s="31"/>
      <c r="L262" s="31"/>
      <c r="M262" s="31"/>
      <c r="N262" s="31"/>
      <c r="O262" s="31"/>
      <c r="P262" s="31"/>
      <c r="Q262" s="31"/>
      <c r="R262" s="31"/>
      <c r="S262" s="31"/>
      <c r="T262" s="31"/>
      <c r="U262" s="31"/>
      <c r="V262" s="31"/>
      <c r="W262" s="31"/>
      <c r="X262" s="31"/>
      <c r="Y262" s="31"/>
      <c r="Z262" s="31"/>
    </row>
    <row r="263" ht="13.5" customHeight="1">
      <c r="A263" s="34" t="s">
        <v>30</v>
      </c>
      <c r="B263" s="35" t="s">
        <v>31</v>
      </c>
      <c r="C263" s="36">
        <v>45021.0</v>
      </c>
      <c r="D263" s="34" t="s">
        <v>32</v>
      </c>
      <c r="E263" s="35" t="s">
        <v>33</v>
      </c>
      <c r="F263" s="37"/>
      <c r="G263" s="31"/>
      <c r="H263" s="31"/>
      <c r="I263" s="31"/>
      <c r="J263" s="31"/>
      <c r="K263" s="31"/>
      <c r="L263" s="31"/>
      <c r="M263" s="31"/>
      <c r="N263" s="31"/>
      <c r="O263" s="31"/>
      <c r="P263" s="31"/>
      <c r="Q263" s="31"/>
      <c r="R263" s="31"/>
      <c r="S263" s="31"/>
      <c r="T263" s="31"/>
      <c r="U263" s="31"/>
      <c r="V263" s="31"/>
      <c r="W263" s="31"/>
      <c r="X263" s="31"/>
      <c r="Y263" s="31"/>
      <c r="Z263" s="31"/>
    </row>
    <row r="264" ht="13.5" customHeight="1">
      <c r="A264" s="38"/>
      <c r="B264" s="35" t="s">
        <v>34</v>
      </c>
      <c r="C264" s="33">
        <f>IF(C263="","",IF(AND(MONTH(C263)&gt;=1,MONTH(C263)&lt;=3),1,IF(AND(MONTH(C263)&gt;=4,MONTH(C263)&lt;=6),2,IF(AND(MONTH(C263)&gt;=7,MONTH(C263)&lt;=9),3,4))))</f>
        <v>2</v>
      </c>
      <c r="D264" s="38"/>
      <c r="E264" s="35" t="s">
        <v>35</v>
      </c>
      <c r="F264" s="37"/>
      <c r="G264" s="31"/>
      <c r="H264" s="31"/>
      <c r="I264" s="31"/>
      <c r="J264" s="31"/>
      <c r="K264" s="31"/>
      <c r="L264" s="31"/>
      <c r="M264" s="31"/>
      <c r="N264" s="31"/>
      <c r="O264" s="31"/>
      <c r="P264" s="31"/>
      <c r="Q264" s="31"/>
      <c r="R264" s="31"/>
      <c r="S264" s="31"/>
      <c r="T264" s="31"/>
      <c r="U264" s="31"/>
      <c r="V264" s="31"/>
      <c r="W264" s="31"/>
      <c r="X264" s="31"/>
      <c r="Y264" s="31"/>
      <c r="Z264" s="31"/>
    </row>
    <row r="265" ht="13.5" customHeight="1">
      <c r="A265" s="38"/>
      <c r="B265" s="35" t="s">
        <v>36</v>
      </c>
      <c r="C265" s="36">
        <v>45023.0</v>
      </c>
      <c r="D265" s="38"/>
      <c r="E265" s="35" t="s">
        <v>37</v>
      </c>
      <c r="F265" s="37"/>
      <c r="G265" s="31"/>
      <c r="H265" s="31"/>
      <c r="I265" s="31"/>
      <c r="J265" s="31"/>
      <c r="K265" s="31"/>
      <c r="L265" s="31"/>
      <c r="M265" s="31"/>
      <c r="N265" s="31"/>
      <c r="O265" s="31"/>
      <c r="P265" s="31"/>
      <c r="Q265" s="31"/>
      <c r="R265" s="31"/>
      <c r="S265" s="31"/>
      <c r="T265" s="31"/>
      <c r="U265" s="31"/>
      <c r="V265" s="31"/>
      <c r="W265" s="31"/>
      <c r="X265" s="31"/>
      <c r="Y265" s="31"/>
      <c r="Z265" s="31"/>
    </row>
    <row r="266" ht="13.5" customHeight="1">
      <c r="A266" s="39"/>
      <c r="B266" s="35" t="s">
        <v>34</v>
      </c>
      <c r="C266" s="33">
        <f>IF(C265="","",IF(AND(MONTH(C265)&gt;=1,MONTH(C265)&lt;=3),1,IF(AND(MONTH(C265)&gt;=4,MONTH(C265)&lt;=6),2,IF(AND(MONTH(C265)&gt;=7,MONTH(C265)&lt;=9),3,4))))</f>
        <v>2</v>
      </c>
      <c r="D266" s="39"/>
      <c r="E266" s="35" t="s">
        <v>38</v>
      </c>
      <c r="F266" s="37"/>
      <c r="G266" s="31"/>
      <c r="H266" s="31"/>
      <c r="I266" s="31"/>
      <c r="J266" s="31"/>
      <c r="K266" s="31"/>
      <c r="L266" s="31"/>
      <c r="M266" s="31"/>
      <c r="N266" s="31"/>
      <c r="O266" s="31"/>
      <c r="P266" s="31"/>
      <c r="Q266" s="31"/>
      <c r="R266" s="31"/>
      <c r="S266" s="31"/>
      <c r="T266" s="31"/>
      <c r="U266" s="31"/>
      <c r="V266" s="31"/>
      <c r="W266" s="31"/>
      <c r="X266" s="31"/>
      <c r="Y266" s="31"/>
      <c r="Z266" s="31"/>
    </row>
    <row r="267" ht="13.5" customHeight="1">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row>
    <row r="268" ht="13.5" customHeight="1">
      <c r="A268" s="40" t="s">
        <v>39</v>
      </c>
      <c r="B268" s="40" t="s">
        <v>40</v>
      </c>
      <c r="C268" s="40" t="s">
        <v>41</v>
      </c>
      <c r="D268" s="40" t="s">
        <v>42</v>
      </c>
      <c r="E268" s="40" t="s">
        <v>43</v>
      </c>
      <c r="F268" s="40" t="s">
        <v>44</v>
      </c>
      <c r="G268" s="31"/>
      <c r="H268" s="31"/>
      <c r="I268" s="31"/>
      <c r="J268" s="31"/>
      <c r="K268" s="31"/>
      <c r="L268" s="31"/>
      <c r="M268" s="31"/>
      <c r="N268" s="31"/>
      <c r="O268" s="31"/>
      <c r="P268" s="31"/>
      <c r="Q268" s="31"/>
      <c r="R268" s="31"/>
      <c r="S268" s="31"/>
      <c r="T268" s="31"/>
      <c r="U268" s="31"/>
      <c r="V268" s="31"/>
      <c r="W268" s="31"/>
      <c r="X268" s="31"/>
      <c r="Y268" s="31"/>
      <c r="Z268" s="31"/>
    </row>
    <row r="269" ht="13.5" customHeight="1">
      <c r="A269" s="41" t="s">
        <v>137</v>
      </c>
      <c r="B269" s="41" t="str">
        <f t="array" ref="B269">IFERROR(INDEX(#REF!,MATCH(INDIRECT(ADDRESS(ROW(),COLUMN()-1,4)),#REF!,0)),IF(INDIRECT(ADDRESS(ROW(),COLUMN()-1,4))="30111504","Morteros",""))</f>
        <v>Morteros</v>
      </c>
      <c r="C269" s="42" t="str">
        <f>IFERROR(VLOOKUP("UD",'Informacion '!P:Q,2,FALSE),"")</f>
        <v/>
      </c>
      <c r="D269" s="41">
        <v>42.0</v>
      </c>
      <c r="E269" s="43">
        <v>500.0</v>
      </c>
      <c r="F269" s="43">
        <f>INDIRECT(ADDRESS(ROW(),COLUMN()-2,4))*INDIRECT(ADDRESS(ROW(),COLUMN()-1,4))</f>
        <v>21000</v>
      </c>
      <c r="G269" s="31"/>
      <c r="H269" s="31"/>
      <c r="I269" s="31"/>
      <c r="J269" s="31"/>
      <c r="K269" s="31"/>
      <c r="L269" s="31"/>
      <c r="M269" s="31"/>
      <c r="N269" s="31"/>
      <c r="O269" s="31"/>
      <c r="P269" s="31"/>
      <c r="Q269" s="31"/>
      <c r="R269" s="31"/>
      <c r="S269" s="31"/>
      <c r="T269" s="31"/>
      <c r="U269" s="31"/>
      <c r="V269" s="31"/>
      <c r="W269" s="31"/>
      <c r="X269" s="31"/>
      <c r="Y269" s="31"/>
      <c r="Z269" s="31"/>
    </row>
    <row r="270" ht="13.5" customHeight="1">
      <c r="A270" s="31"/>
      <c r="B270" s="31"/>
      <c r="C270" s="31"/>
      <c r="D270" s="31"/>
      <c r="E270" s="44" t="s">
        <v>63</v>
      </c>
      <c r="F270" s="45">
        <f>SUM(PACC!$F$269)</f>
        <v>21000</v>
      </c>
      <c r="G270" s="31"/>
      <c r="H270" s="31" t="str">
        <f>C262</f>
        <v>Bienes</v>
      </c>
      <c r="I270" s="31" t="str">
        <f>E262</f>
        <v>No</v>
      </c>
      <c r="J270" s="31" t="str">
        <f>D262</f>
        <v>Compras por debajo del Umbral</v>
      </c>
      <c r="K270" s="31"/>
      <c r="L270" s="31"/>
      <c r="M270" s="31"/>
      <c r="N270" s="31"/>
      <c r="O270" s="31"/>
      <c r="P270" s="31"/>
      <c r="Q270" s="31"/>
      <c r="R270" s="31"/>
      <c r="S270" s="31"/>
      <c r="T270" s="31"/>
      <c r="U270" s="31"/>
      <c r="V270" s="31"/>
      <c r="W270" s="31"/>
      <c r="X270" s="31"/>
      <c r="Y270" s="31"/>
      <c r="Z270" s="31"/>
    </row>
    <row r="271" ht="13.5" customHeight="1">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row>
    <row r="272" ht="33.75" customHeight="1">
      <c r="A272" s="32" t="s">
        <v>19</v>
      </c>
      <c r="B272" s="32" t="s">
        <v>20</v>
      </c>
      <c r="C272" s="32" t="s">
        <v>21</v>
      </c>
      <c r="D272" s="32" t="s">
        <v>22</v>
      </c>
      <c r="E272" s="32" t="s">
        <v>23</v>
      </c>
      <c r="F272" s="32" t="s">
        <v>24</v>
      </c>
      <c r="G272" s="31"/>
      <c r="H272" s="31"/>
      <c r="I272" s="31"/>
      <c r="J272" s="31"/>
      <c r="K272" s="31"/>
      <c r="L272" s="31"/>
      <c r="M272" s="31"/>
      <c r="N272" s="31"/>
      <c r="O272" s="31"/>
      <c r="P272" s="31"/>
      <c r="Q272" s="31"/>
      <c r="R272" s="31"/>
      <c r="S272" s="31"/>
      <c r="T272" s="31"/>
      <c r="U272" s="31"/>
      <c r="V272" s="31"/>
      <c r="W272" s="31"/>
      <c r="X272" s="31"/>
      <c r="Y272" s="31"/>
      <c r="Z272" s="31"/>
    </row>
    <row r="273" ht="13.5" customHeight="1">
      <c r="A273" s="33" t="s">
        <v>138</v>
      </c>
      <c r="B273" s="33" t="s">
        <v>139</v>
      </c>
      <c r="C273" s="33" t="s">
        <v>27</v>
      </c>
      <c r="D273" s="33" t="s">
        <v>116</v>
      </c>
      <c r="E273" s="33" t="s">
        <v>67</v>
      </c>
      <c r="F273" s="33"/>
      <c r="G273" s="31"/>
      <c r="H273" s="31"/>
      <c r="I273" s="31"/>
      <c r="J273" s="31"/>
      <c r="K273" s="31"/>
      <c r="L273" s="31"/>
      <c r="M273" s="31"/>
      <c r="N273" s="31"/>
      <c r="O273" s="31"/>
      <c r="P273" s="31"/>
      <c r="Q273" s="31"/>
      <c r="R273" s="31"/>
      <c r="S273" s="31"/>
      <c r="T273" s="31"/>
      <c r="U273" s="31"/>
      <c r="V273" s="31"/>
      <c r="W273" s="31"/>
      <c r="X273" s="31"/>
      <c r="Y273" s="31"/>
      <c r="Z273" s="31"/>
    </row>
    <row r="274" ht="13.5" customHeight="1">
      <c r="A274" s="34" t="s">
        <v>30</v>
      </c>
      <c r="B274" s="35" t="s">
        <v>31</v>
      </c>
      <c r="C274" s="36">
        <v>45028.0</v>
      </c>
      <c r="D274" s="34" t="s">
        <v>32</v>
      </c>
      <c r="E274" s="35" t="s">
        <v>33</v>
      </c>
      <c r="F274" s="37"/>
      <c r="G274" s="31"/>
      <c r="H274" s="31"/>
      <c r="I274" s="31"/>
      <c r="J274" s="31"/>
      <c r="K274" s="31"/>
      <c r="L274" s="31"/>
      <c r="M274" s="31"/>
      <c r="N274" s="31"/>
      <c r="O274" s="31"/>
      <c r="P274" s="31"/>
      <c r="Q274" s="31"/>
      <c r="R274" s="31"/>
      <c r="S274" s="31"/>
      <c r="T274" s="31"/>
      <c r="U274" s="31"/>
      <c r="V274" s="31"/>
      <c r="W274" s="31"/>
      <c r="X274" s="31"/>
      <c r="Y274" s="31"/>
      <c r="Z274" s="31"/>
    </row>
    <row r="275" ht="13.5" customHeight="1">
      <c r="A275" s="38"/>
      <c r="B275" s="35" t="s">
        <v>34</v>
      </c>
      <c r="C275" s="33">
        <f>IF(C274="","",IF(AND(MONTH(C274)&gt;=1,MONTH(C274)&lt;=3),1,IF(AND(MONTH(C274)&gt;=4,MONTH(C274)&lt;=6),2,IF(AND(MONTH(C274)&gt;=7,MONTH(C274)&lt;=9),3,4))))</f>
        <v>2</v>
      </c>
      <c r="D275" s="38"/>
      <c r="E275" s="35" t="s">
        <v>35</v>
      </c>
      <c r="F275" s="37"/>
      <c r="G275" s="31"/>
      <c r="H275" s="31"/>
      <c r="I275" s="31"/>
      <c r="J275" s="31"/>
      <c r="K275" s="31"/>
      <c r="L275" s="31"/>
      <c r="M275" s="31"/>
      <c r="N275" s="31"/>
      <c r="O275" s="31"/>
      <c r="P275" s="31"/>
      <c r="Q275" s="31"/>
      <c r="R275" s="31"/>
      <c r="S275" s="31"/>
      <c r="T275" s="31"/>
      <c r="U275" s="31"/>
      <c r="V275" s="31"/>
      <c r="W275" s="31"/>
      <c r="X275" s="31"/>
      <c r="Y275" s="31"/>
      <c r="Z275" s="31"/>
    </row>
    <row r="276" ht="13.5" customHeight="1">
      <c r="A276" s="38"/>
      <c r="B276" s="35" t="s">
        <v>36</v>
      </c>
      <c r="C276" s="36">
        <v>45044.0</v>
      </c>
      <c r="D276" s="38"/>
      <c r="E276" s="35" t="s">
        <v>37</v>
      </c>
      <c r="F276" s="37"/>
      <c r="G276" s="31"/>
      <c r="H276" s="31"/>
      <c r="I276" s="31"/>
      <c r="J276" s="31"/>
      <c r="K276" s="31"/>
      <c r="L276" s="31"/>
      <c r="M276" s="31"/>
      <c r="N276" s="31"/>
      <c r="O276" s="31"/>
      <c r="P276" s="31"/>
      <c r="Q276" s="31"/>
      <c r="R276" s="31"/>
      <c r="S276" s="31"/>
      <c r="T276" s="31"/>
      <c r="U276" s="31"/>
      <c r="V276" s="31"/>
      <c r="W276" s="31"/>
      <c r="X276" s="31"/>
      <c r="Y276" s="31"/>
      <c r="Z276" s="31"/>
    </row>
    <row r="277" ht="13.5" customHeight="1">
      <c r="A277" s="39"/>
      <c r="B277" s="35" t="s">
        <v>34</v>
      </c>
      <c r="C277" s="33">
        <f>IF(C276="","",IF(AND(MONTH(C276)&gt;=1,MONTH(C276)&lt;=3),1,IF(AND(MONTH(C276)&gt;=4,MONTH(C276)&lt;=6),2,IF(AND(MONTH(C276)&gt;=7,MONTH(C276)&lt;=9),3,4))))</f>
        <v>2</v>
      </c>
      <c r="D277" s="39"/>
      <c r="E277" s="35" t="s">
        <v>38</v>
      </c>
      <c r="F277" s="37"/>
      <c r="G277" s="31"/>
      <c r="H277" s="31"/>
      <c r="I277" s="31"/>
      <c r="J277" s="31"/>
      <c r="K277" s="31"/>
      <c r="L277" s="31"/>
      <c r="M277" s="31"/>
      <c r="N277" s="31"/>
      <c r="O277" s="31"/>
      <c r="P277" s="31"/>
      <c r="Q277" s="31"/>
      <c r="R277" s="31"/>
      <c r="S277" s="31"/>
      <c r="T277" s="31"/>
      <c r="U277" s="31"/>
      <c r="V277" s="31"/>
      <c r="W277" s="31"/>
      <c r="X277" s="31"/>
      <c r="Y277" s="31"/>
      <c r="Z277" s="31"/>
    </row>
    <row r="278" ht="13.5" customHeight="1">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row>
    <row r="279" ht="13.5" customHeight="1">
      <c r="A279" s="40" t="s">
        <v>39</v>
      </c>
      <c r="B279" s="40" t="s">
        <v>40</v>
      </c>
      <c r="C279" s="40" t="s">
        <v>41</v>
      </c>
      <c r="D279" s="40" t="s">
        <v>42</v>
      </c>
      <c r="E279" s="40" t="s">
        <v>43</v>
      </c>
      <c r="F279" s="40" t="s">
        <v>44</v>
      </c>
      <c r="G279" s="31"/>
      <c r="H279" s="31"/>
      <c r="I279" s="31"/>
      <c r="J279" s="31"/>
      <c r="K279" s="31"/>
      <c r="L279" s="31"/>
      <c r="M279" s="31"/>
      <c r="N279" s="31"/>
      <c r="O279" s="31"/>
      <c r="P279" s="31"/>
      <c r="Q279" s="31"/>
      <c r="R279" s="31"/>
      <c r="S279" s="31"/>
      <c r="T279" s="31"/>
      <c r="U279" s="31"/>
      <c r="V279" s="31"/>
      <c r="W279" s="31"/>
      <c r="X279" s="31"/>
      <c r="Y279" s="31"/>
      <c r="Z279" s="31"/>
    </row>
    <row r="280" ht="13.5" customHeight="1">
      <c r="A280" s="41" t="s">
        <v>140</v>
      </c>
      <c r="B280" s="41" t="str">
        <f t="shared" ref="B280:B281" si="38">IFERROR(INDEX(#REF!,MATCH(INDIRECT(ADDRESS(ROW(),COLUMN()-1,4)),#REF!,0)),IF(INDIRECT(ADDRESS(ROW(),COLUMN()-1,4))="40101701","Aires acondicionados",""))</f>
        <v>Aires acondicionados</v>
      </c>
      <c r="C280" s="42" t="str">
        <f t="shared" ref="C280:C281" si="39">IFERROR(VLOOKUP("UD",'Informacion '!P:Q,2,FALSE),"")</f>
        <v/>
      </c>
      <c r="D280" s="41">
        <v>5.0</v>
      </c>
      <c r="E280" s="43">
        <v>135000.0</v>
      </c>
      <c r="F280" s="43">
        <f t="shared" ref="F280:F281" si="40">INDIRECT(ADDRESS(ROW(),COLUMN()-2,4))*INDIRECT(ADDRESS(ROW(),COLUMN()-1,4))</f>
        <v>675000</v>
      </c>
      <c r="G280" s="31"/>
      <c r="H280" s="31"/>
      <c r="I280" s="31"/>
      <c r="J280" s="31"/>
      <c r="K280" s="31"/>
      <c r="L280" s="31"/>
      <c r="M280" s="31"/>
      <c r="N280" s="31"/>
      <c r="O280" s="31"/>
      <c r="P280" s="31"/>
      <c r="Q280" s="31"/>
      <c r="R280" s="31"/>
      <c r="S280" s="31"/>
      <c r="T280" s="31"/>
      <c r="U280" s="31"/>
      <c r="V280" s="31"/>
      <c r="W280" s="31"/>
      <c r="X280" s="31"/>
      <c r="Y280" s="31"/>
      <c r="Z280" s="31"/>
    </row>
    <row r="281" ht="13.5" customHeight="1">
      <c r="A281" s="41" t="s">
        <v>140</v>
      </c>
      <c r="B281" s="41" t="str">
        <f t="shared" si="38"/>
        <v>Aires acondicionados</v>
      </c>
      <c r="C281" s="42" t="str">
        <f t="shared" si="39"/>
        <v/>
      </c>
      <c r="D281" s="41">
        <v>5.0</v>
      </c>
      <c r="E281" s="43">
        <v>65000.0</v>
      </c>
      <c r="F281" s="43">
        <f t="shared" si="40"/>
        <v>325000</v>
      </c>
      <c r="G281" s="31"/>
      <c r="H281" s="31"/>
      <c r="I281" s="31"/>
      <c r="J281" s="31"/>
      <c r="K281" s="31"/>
      <c r="L281" s="31"/>
      <c r="M281" s="31"/>
      <c r="N281" s="31"/>
      <c r="O281" s="31"/>
      <c r="P281" s="31"/>
      <c r="Q281" s="31"/>
      <c r="R281" s="31"/>
      <c r="S281" s="31"/>
      <c r="T281" s="31"/>
      <c r="U281" s="31"/>
      <c r="V281" s="31"/>
      <c r="W281" s="31"/>
      <c r="X281" s="31"/>
      <c r="Y281" s="31"/>
      <c r="Z281" s="31"/>
    </row>
    <row r="282" ht="13.5" customHeight="1">
      <c r="A282" s="31"/>
      <c r="B282" s="31"/>
      <c r="C282" s="31"/>
      <c r="D282" s="31"/>
      <c r="E282" s="44" t="s">
        <v>63</v>
      </c>
      <c r="F282" s="45">
        <f>SUM(PACC!$F$280:$F$281)</f>
        <v>1000000</v>
      </c>
      <c r="G282" s="31"/>
      <c r="H282" s="31" t="str">
        <f>C273</f>
        <v>Bienes</v>
      </c>
      <c r="I282" s="31" t="str">
        <f>E273</f>
        <v>No</v>
      </c>
      <c r="J282" s="31" t="str">
        <f>D273</f>
        <v>Compras Menores</v>
      </c>
      <c r="K282" s="31"/>
      <c r="L282" s="31"/>
      <c r="M282" s="31"/>
      <c r="N282" s="31"/>
      <c r="O282" s="31"/>
      <c r="P282" s="31"/>
      <c r="Q282" s="31"/>
      <c r="R282" s="31"/>
      <c r="S282" s="31"/>
      <c r="T282" s="31"/>
      <c r="U282" s="31"/>
      <c r="V282" s="31"/>
      <c r="W282" s="31"/>
      <c r="X282" s="31"/>
      <c r="Y282" s="31"/>
      <c r="Z282" s="31"/>
    </row>
    <row r="283" ht="13.5" customHeight="1">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row>
    <row r="284" ht="33.75" customHeight="1">
      <c r="A284" s="32" t="s">
        <v>19</v>
      </c>
      <c r="B284" s="32" t="s">
        <v>20</v>
      </c>
      <c r="C284" s="32" t="s">
        <v>21</v>
      </c>
      <c r="D284" s="32" t="s">
        <v>22</v>
      </c>
      <c r="E284" s="32" t="s">
        <v>23</v>
      </c>
      <c r="F284" s="32" t="s">
        <v>24</v>
      </c>
      <c r="G284" s="31"/>
      <c r="H284" s="31"/>
      <c r="I284" s="31"/>
      <c r="J284" s="31"/>
      <c r="K284" s="31"/>
      <c r="L284" s="31"/>
      <c r="M284" s="31"/>
      <c r="N284" s="31"/>
      <c r="O284" s="31"/>
      <c r="P284" s="31"/>
      <c r="Q284" s="31"/>
      <c r="R284" s="31"/>
      <c r="S284" s="31"/>
      <c r="T284" s="31"/>
      <c r="U284" s="31"/>
      <c r="V284" s="31"/>
      <c r="W284" s="31"/>
      <c r="X284" s="31"/>
      <c r="Y284" s="31"/>
      <c r="Z284" s="31"/>
    </row>
    <row r="285" ht="13.5" customHeight="1">
      <c r="A285" s="33" t="s">
        <v>141</v>
      </c>
      <c r="B285" s="33" t="s">
        <v>142</v>
      </c>
      <c r="C285" s="33" t="s">
        <v>27</v>
      </c>
      <c r="D285" s="33" t="s">
        <v>116</v>
      </c>
      <c r="E285" s="33" t="s">
        <v>67</v>
      </c>
      <c r="F285" s="33"/>
      <c r="G285" s="31"/>
      <c r="H285" s="31"/>
      <c r="I285" s="31"/>
      <c r="J285" s="31"/>
      <c r="K285" s="31"/>
      <c r="L285" s="31"/>
      <c r="M285" s="31"/>
      <c r="N285" s="31"/>
      <c r="O285" s="31"/>
      <c r="P285" s="31"/>
      <c r="Q285" s="31"/>
      <c r="R285" s="31"/>
      <c r="S285" s="31"/>
      <c r="T285" s="31"/>
      <c r="U285" s="31"/>
      <c r="V285" s="31"/>
      <c r="W285" s="31"/>
      <c r="X285" s="31"/>
      <c r="Y285" s="31"/>
      <c r="Z285" s="31"/>
    </row>
    <row r="286" ht="13.5" customHeight="1">
      <c r="A286" s="34" t="s">
        <v>30</v>
      </c>
      <c r="B286" s="35" t="s">
        <v>31</v>
      </c>
      <c r="C286" s="36">
        <v>45033.0</v>
      </c>
      <c r="D286" s="34" t="s">
        <v>32</v>
      </c>
      <c r="E286" s="35" t="s">
        <v>33</v>
      </c>
      <c r="F286" s="37"/>
      <c r="G286" s="31"/>
      <c r="H286" s="31"/>
      <c r="I286" s="31"/>
      <c r="J286" s="31"/>
      <c r="K286" s="31"/>
      <c r="L286" s="31"/>
      <c r="M286" s="31"/>
      <c r="N286" s="31"/>
      <c r="O286" s="31"/>
      <c r="P286" s="31"/>
      <c r="Q286" s="31"/>
      <c r="R286" s="31"/>
      <c r="S286" s="31"/>
      <c r="T286" s="31"/>
      <c r="U286" s="31"/>
      <c r="V286" s="31"/>
      <c r="W286" s="31"/>
      <c r="X286" s="31"/>
      <c r="Y286" s="31"/>
      <c r="Z286" s="31"/>
    </row>
    <row r="287" ht="13.5" customHeight="1">
      <c r="A287" s="38"/>
      <c r="B287" s="35" t="s">
        <v>34</v>
      </c>
      <c r="C287" s="33">
        <f>IF(C286="","",IF(AND(MONTH(C286)&gt;=1,MONTH(C286)&lt;=3),1,IF(AND(MONTH(C286)&gt;=4,MONTH(C286)&lt;=6),2,IF(AND(MONTH(C286)&gt;=7,MONTH(C286)&lt;=9),3,4))))</f>
        <v>2</v>
      </c>
      <c r="D287" s="38"/>
      <c r="E287" s="35" t="s">
        <v>35</v>
      </c>
      <c r="F287" s="37"/>
      <c r="G287" s="31"/>
      <c r="H287" s="31"/>
      <c r="I287" s="31"/>
      <c r="J287" s="31"/>
      <c r="K287" s="31"/>
      <c r="L287" s="31"/>
      <c r="M287" s="31"/>
      <c r="N287" s="31"/>
      <c r="O287" s="31"/>
      <c r="P287" s="31"/>
      <c r="Q287" s="31"/>
      <c r="R287" s="31"/>
      <c r="S287" s="31"/>
      <c r="T287" s="31"/>
      <c r="U287" s="31"/>
      <c r="V287" s="31"/>
      <c r="W287" s="31"/>
      <c r="X287" s="31"/>
      <c r="Y287" s="31"/>
      <c r="Z287" s="31"/>
    </row>
    <row r="288" ht="13.5" customHeight="1">
      <c r="A288" s="38"/>
      <c r="B288" s="35" t="s">
        <v>36</v>
      </c>
      <c r="C288" s="36">
        <v>45044.0</v>
      </c>
      <c r="D288" s="38"/>
      <c r="E288" s="35" t="s">
        <v>37</v>
      </c>
      <c r="F288" s="37"/>
      <c r="G288" s="31"/>
      <c r="H288" s="31"/>
      <c r="I288" s="31"/>
      <c r="J288" s="31"/>
      <c r="K288" s="31"/>
      <c r="L288" s="31"/>
      <c r="M288" s="31"/>
      <c r="N288" s="31"/>
      <c r="O288" s="31"/>
      <c r="P288" s="31"/>
      <c r="Q288" s="31"/>
      <c r="R288" s="31"/>
      <c r="S288" s="31"/>
      <c r="T288" s="31"/>
      <c r="U288" s="31"/>
      <c r="V288" s="31"/>
      <c r="W288" s="31"/>
      <c r="X288" s="31"/>
      <c r="Y288" s="31"/>
      <c r="Z288" s="31"/>
    </row>
    <row r="289" ht="13.5" customHeight="1">
      <c r="A289" s="39"/>
      <c r="B289" s="35" t="s">
        <v>34</v>
      </c>
      <c r="C289" s="33">
        <f>IF(C288="","",IF(AND(MONTH(C288)&gt;=1,MONTH(C288)&lt;=3),1,IF(AND(MONTH(C288)&gt;=4,MONTH(C288)&lt;=6),2,IF(AND(MONTH(C288)&gt;=7,MONTH(C288)&lt;=9),3,4))))</f>
        <v>2</v>
      </c>
      <c r="D289" s="39"/>
      <c r="E289" s="35" t="s">
        <v>38</v>
      </c>
      <c r="F289" s="37"/>
      <c r="G289" s="31"/>
      <c r="H289" s="31"/>
      <c r="I289" s="31"/>
      <c r="J289" s="31"/>
      <c r="K289" s="31"/>
      <c r="L289" s="31"/>
      <c r="M289" s="31"/>
      <c r="N289" s="31"/>
      <c r="O289" s="31"/>
      <c r="P289" s="31"/>
      <c r="Q289" s="31"/>
      <c r="R289" s="31"/>
      <c r="S289" s="31"/>
      <c r="T289" s="31"/>
      <c r="U289" s="31"/>
      <c r="V289" s="31"/>
      <c r="W289" s="31"/>
      <c r="X289" s="31"/>
      <c r="Y289" s="31"/>
      <c r="Z289" s="31"/>
    </row>
    <row r="290" ht="13.5" customHeight="1">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row>
    <row r="291" ht="13.5" customHeight="1">
      <c r="A291" s="40" t="s">
        <v>39</v>
      </c>
      <c r="B291" s="40" t="s">
        <v>40</v>
      </c>
      <c r="C291" s="40" t="s">
        <v>41</v>
      </c>
      <c r="D291" s="40" t="s">
        <v>42</v>
      </c>
      <c r="E291" s="40" t="s">
        <v>43</v>
      </c>
      <c r="F291" s="40" t="s">
        <v>44</v>
      </c>
      <c r="G291" s="31"/>
      <c r="H291" s="31"/>
      <c r="I291" s="31"/>
      <c r="J291" s="31"/>
      <c r="K291" s="31"/>
      <c r="L291" s="31"/>
      <c r="M291" s="31"/>
      <c r="N291" s="31"/>
      <c r="O291" s="31"/>
      <c r="P291" s="31"/>
      <c r="Q291" s="31"/>
      <c r="R291" s="31"/>
      <c r="S291" s="31"/>
      <c r="T291" s="31"/>
      <c r="U291" s="31"/>
      <c r="V291" s="31"/>
      <c r="W291" s="31"/>
      <c r="X291" s="31"/>
      <c r="Y291" s="31"/>
      <c r="Z291" s="31"/>
    </row>
    <row r="292" ht="13.5" customHeight="1">
      <c r="A292" s="41" t="s">
        <v>143</v>
      </c>
      <c r="B292" s="41" t="str">
        <f t="shared" ref="B292:B293" si="41">IFERROR(INDEX(#REF!,MATCH(INDIRECT(ADDRESS(ROW(),COLUMN()-1,4)),#REF!,0)),IF(INDIRECT(ADDRESS(ROW(),COLUMN()-1,4))="42181610","Kits de mangas de presión de sangre",""))</f>
        <v>Kits de mangas de presión de sangre</v>
      </c>
      <c r="C292" s="42" t="str">
        <f t="shared" ref="C292:C301" si="42">IFERROR(VLOOKUP("UD",'Informacion '!P:Q,2,FALSE),"")</f>
        <v/>
      </c>
      <c r="D292" s="41">
        <v>1.0</v>
      </c>
      <c r="E292" s="43">
        <v>98000.0</v>
      </c>
      <c r="F292" s="43">
        <f t="shared" ref="F292:F301" si="43">INDIRECT(ADDRESS(ROW(),COLUMN()-2,4))*INDIRECT(ADDRESS(ROW(),COLUMN()-1,4))</f>
        <v>98000</v>
      </c>
      <c r="G292" s="31"/>
      <c r="H292" s="31"/>
      <c r="I292" s="31"/>
      <c r="J292" s="31"/>
      <c r="K292" s="31"/>
      <c r="L292" s="31"/>
      <c r="M292" s="31"/>
      <c r="N292" s="31"/>
      <c r="O292" s="31"/>
      <c r="P292" s="31"/>
      <c r="Q292" s="31"/>
      <c r="R292" s="31"/>
      <c r="S292" s="31"/>
      <c r="T292" s="31"/>
      <c r="U292" s="31"/>
      <c r="V292" s="31"/>
      <c r="W292" s="31"/>
      <c r="X292" s="31"/>
      <c r="Y292" s="31"/>
      <c r="Z292" s="31"/>
    </row>
    <row r="293" ht="13.5" customHeight="1">
      <c r="A293" s="41" t="s">
        <v>143</v>
      </c>
      <c r="B293" s="41" t="str">
        <f t="shared" si="41"/>
        <v>Kits de mangas de presión de sangre</v>
      </c>
      <c r="C293" s="42" t="str">
        <f t="shared" si="42"/>
        <v/>
      </c>
      <c r="D293" s="41">
        <v>5.0</v>
      </c>
      <c r="E293" s="43">
        <v>2000.0</v>
      </c>
      <c r="F293" s="43">
        <f t="shared" si="43"/>
        <v>10000</v>
      </c>
      <c r="G293" s="31"/>
      <c r="H293" s="31"/>
      <c r="I293" s="31"/>
      <c r="J293" s="31"/>
      <c r="K293" s="31"/>
      <c r="L293" s="31"/>
      <c r="M293" s="31"/>
      <c r="N293" s="31"/>
      <c r="O293" s="31"/>
      <c r="P293" s="31"/>
      <c r="Q293" s="31"/>
      <c r="R293" s="31"/>
      <c r="S293" s="31"/>
      <c r="T293" s="31"/>
      <c r="U293" s="31"/>
      <c r="V293" s="31"/>
      <c r="W293" s="31"/>
      <c r="X293" s="31"/>
      <c r="Y293" s="31"/>
      <c r="Z293" s="31"/>
    </row>
    <row r="294" ht="13.5" customHeight="1">
      <c r="A294" s="41" t="s">
        <v>144</v>
      </c>
      <c r="B294" s="41" t="str">
        <f t="array" ref="B294">IFERROR(INDEX(#REF!,MATCH(INDIRECT(ADDRESS(ROW(),COLUMN()-1,4)),#REF!,0)),IF(INDIRECT(ADDRESS(ROW(),COLUMN()-1,4))="42181803","Sondas o sensores para oxímetros de pulso",""))</f>
        <v>Sondas o sensores para oxímetros de pulso</v>
      </c>
      <c r="C294" s="42" t="str">
        <f t="shared" si="42"/>
        <v/>
      </c>
      <c r="D294" s="41">
        <v>25.0</v>
      </c>
      <c r="E294" s="43">
        <v>2000.0</v>
      </c>
      <c r="F294" s="43">
        <f t="shared" si="43"/>
        <v>50000</v>
      </c>
      <c r="G294" s="31"/>
      <c r="H294" s="31"/>
      <c r="I294" s="31"/>
      <c r="J294" s="31"/>
      <c r="K294" s="31"/>
      <c r="L294" s="31"/>
      <c r="M294" s="31"/>
      <c r="N294" s="31"/>
      <c r="O294" s="31"/>
      <c r="P294" s="31"/>
      <c r="Q294" s="31"/>
      <c r="R294" s="31"/>
      <c r="S294" s="31"/>
      <c r="T294" s="31"/>
      <c r="U294" s="31"/>
      <c r="V294" s="31"/>
      <c r="W294" s="31"/>
      <c r="X294" s="31"/>
      <c r="Y294" s="31"/>
      <c r="Z294" s="31"/>
    </row>
    <row r="295" ht="13.5" customHeight="1">
      <c r="A295" s="41" t="s">
        <v>145</v>
      </c>
      <c r="B295" s="41" t="str">
        <f t="array" ref="B295">IFERROR(INDEX(#REF!,MATCH(INDIRECT(ADDRESS(ROW(),COLUMN()-1,4)),#REF!,0)),IF(INDIRECT(ADDRESS(ROW(),COLUMN()-1,4))="42281508","Autoclaves o esterilizadores de vapor",""))</f>
        <v>Autoclaves o esterilizadores de vapor</v>
      </c>
      <c r="C295" s="42" t="str">
        <f t="shared" si="42"/>
        <v/>
      </c>
      <c r="D295" s="41">
        <v>1.0</v>
      </c>
      <c r="E295" s="43">
        <v>226000.0</v>
      </c>
      <c r="F295" s="43">
        <f t="shared" si="43"/>
        <v>226000</v>
      </c>
      <c r="G295" s="31"/>
      <c r="H295" s="31"/>
      <c r="I295" s="31"/>
      <c r="J295" s="31"/>
      <c r="K295" s="31"/>
      <c r="L295" s="31"/>
      <c r="M295" s="31"/>
      <c r="N295" s="31"/>
      <c r="O295" s="31"/>
      <c r="P295" s="31"/>
      <c r="Q295" s="31"/>
      <c r="R295" s="31"/>
      <c r="S295" s="31"/>
      <c r="T295" s="31"/>
      <c r="U295" s="31"/>
      <c r="V295" s="31"/>
      <c r="W295" s="31"/>
      <c r="X295" s="31"/>
      <c r="Y295" s="31"/>
      <c r="Z295" s="31"/>
    </row>
    <row r="296" ht="13.5" customHeight="1">
      <c r="A296" s="41" t="s">
        <v>146</v>
      </c>
      <c r="B296" s="41" t="str">
        <f t="array" ref="B296">IFERROR(INDEX(#REF!,MATCH(INDIRECT(ADDRESS(ROW(),COLUMN()-1,4)),#REF!,0)),IF(INDIRECT(ADDRESS(ROW(),COLUMN()-1,4))="42281509","Contenedores o bandejas de esterilización",""))</f>
        <v>Contenedores o bandejas de esterilización</v>
      </c>
      <c r="C296" s="42" t="str">
        <f t="shared" si="42"/>
        <v/>
      </c>
      <c r="D296" s="41">
        <v>5.0</v>
      </c>
      <c r="E296" s="43">
        <v>12000.0</v>
      </c>
      <c r="F296" s="43">
        <f t="shared" si="43"/>
        <v>60000</v>
      </c>
      <c r="G296" s="31"/>
      <c r="H296" s="31"/>
      <c r="I296" s="31"/>
      <c r="J296" s="31"/>
      <c r="K296" s="31"/>
      <c r="L296" s="31"/>
      <c r="M296" s="31"/>
      <c r="N296" s="31"/>
      <c r="O296" s="31"/>
      <c r="P296" s="31"/>
      <c r="Q296" s="31"/>
      <c r="R296" s="31"/>
      <c r="S296" s="31"/>
      <c r="T296" s="31"/>
      <c r="U296" s="31"/>
      <c r="V296" s="31"/>
      <c r="W296" s="31"/>
      <c r="X296" s="31"/>
      <c r="Y296" s="31"/>
      <c r="Z296" s="31"/>
    </row>
    <row r="297" ht="13.5" customHeight="1">
      <c r="A297" s="41" t="s">
        <v>147</v>
      </c>
      <c r="B297" s="41" t="str">
        <f t="array" ref="B297">IFERROR(INDEX(#REF!,MATCH(INDIRECT(ADDRESS(ROW(),COLUMN()-1,4)),#REF!,0)),IF(INDIRECT(ADDRESS(ROW(),COLUMN()-1,4))="42211603","Elevadores para baño o accesorios para los discapacitados físicamente",""))</f>
        <v>Elevadores para baño o accesorios para los discapacitados físicamente</v>
      </c>
      <c r="C297" s="42" t="str">
        <f t="shared" si="42"/>
        <v/>
      </c>
      <c r="D297" s="41">
        <v>5.0</v>
      </c>
      <c r="E297" s="43">
        <v>3500.0</v>
      </c>
      <c r="F297" s="43">
        <f t="shared" si="43"/>
        <v>17500</v>
      </c>
      <c r="G297" s="31"/>
      <c r="H297" s="31"/>
      <c r="I297" s="31"/>
      <c r="J297" s="31"/>
      <c r="K297" s="31"/>
      <c r="L297" s="31"/>
      <c r="M297" s="31"/>
      <c r="N297" s="31"/>
      <c r="O297" s="31"/>
      <c r="P297" s="31"/>
      <c r="Q297" s="31"/>
      <c r="R297" s="31"/>
      <c r="S297" s="31"/>
      <c r="T297" s="31"/>
      <c r="U297" s="31"/>
      <c r="V297" s="31"/>
      <c r="W297" s="31"/>
      <c r="X297" s="31"/>
      <c r="Y297" s="31"/>
      <c r="Z297" s="31"/>
    </row>
    <row r="298" ht="13.5" customHeight="1">
      <c r="A298" s="41" t="s">
        <v>148</v>
      </c>
      <c r="B298" s="41" t="str">
        <f t="array" ref="B298">IFERROR(INDEX(#REF!,MATCH(INDIRECT(ADDRESS(ROW(),COLUMN()-1,4)),#REF!,0)),IF(INDIRECT(ADDRESS(ROW(),COLUMN()-1,4))="42211505","Accesorios para caminadores o andadores",""))</f>
        <v>Accesorios para caminadores o andadores</v>
      </c>
      <c r="C298" s="42" t="str">
        <f t="shared" si="42"/>
        <v/>
      </c>
      <c r="D298" s="41">
        <v>50.0</v>
      </c>
      <c r="E298" s="43">
        <v>1300.0</v>
      </c>
      <c r="F298" s="43">
        <f t="shared" si="43"/>
        <v>65000</v>
      </c>
      <c r="G298" s="31"/>
      <c r="H298" s="31"/>
      <c r="I298" s="31"/>
      <c r="J298" s="31"/>
      <c r="K298" s="31"/>
      <c r="L298" s="31"/>
      <c r="M298" s="31"/>
      <c r="N298" s="31"/>
      <c r="O298" s="31"/>
      <c r="P298" s="31"/>
      <c r="Q298" s="31"/>
      <c r="R298" s="31"/>
      <c r="S298" s="31"/>
      <c r="T298" s="31"/>
      <c r="U298" s="31"/>
      <c r="V298" s="31"/>
      <c r="W298" s="31"/>
      <c r="X298" s="31"/>
      <c r="Y298" s="31"/>
      <c r="Z298" s="31"/>
    </row>
    <row r="299" ht="13.5" customHeight="1">
      <c r="A299" s="41" t="s">
        <v>149</v>
      </c>
      <c r="B299" s="41" t="str">
        <f t="array" ref="B299">IFERROR(INDEX(#REF!,MATCH(INDIRECT(ADDRESS(ROW(),COLUMN()-1,4)),#REF!,0)),IF(INDIRECT(ADDRESS(ROW(),COLUMN()-1,4))="42151608","Bandejas o cubetas para instrumentos dentales",""))</f>
        <v>Bandejas o cubetas para instrumentos dentales</v>
      </c>
      <c r="C299" s="42" t="str">
        <f t="shared" si="42"/>
        <v/>
      </c>
      <c r="D299" s="41">
        <v>10.0</v>
      </c>
      <c r="E299" s="43">
        <v>8500.0</v>
      </c>
      <c r="F299" s="43">
        <f t="shared" si="43"/>
        <v>85000</v>
      </c>
      <c r="G299" s="31"/>
      <c r="H299" s="31"/>
      <c r="I299" s="31"/>
      <c r="J299" s="31"/>
      <c r="K299" s="31"/>
      <c r="L299" s="31"/>
      <c r="M299" s="31"/>
      <c r="N299" s="31"/>
      <c r="O299" s="31"/>
      <c r="P299" s="31"/>
      <c r="Q299" s="31"/>
      <c r="R299" s="31"/>
      <c r="S299" s="31"/>
      <c r="T299" s="31"/>
      <c r="U299" s="31"/>
      <c r="V299" s="31"/>
      <c r="W299" s="31"/>
      <c r="X299" s="31"/>
      <c r="Y299" s="31"/>
      <c r="Z299" s="31"/>
    </row>
    <row r="300" ht="13.5" customHeight="1">
      <c r="A300" s="41" t="s">
        <v>150</v>
      </c>
      <c r="B300" s="41" t="str">
        <f t="shared" ref="B300:B301" si="44">IFERROR(INDEX(#REF!,MATCH(INDIRECT(ADDRESS(ROW(),COLUMN()-1,4)),#REF!,0)),IF(INDIRECT(ADDRESS(ROW(),COLUMN()-1,4))="42151625","Instrumentos de higiene dental",""))</f>
        <v>Instrumentos de higiene dental</v>
      </c>
      <c r="C300" s="42" t="str">
        <f t="shared" si="42"/>
        <v/>
      </c>
      <c r="D300" s="41">
        <v>35.0</v>
      </c>
      <c r="E300" s="43">
        <v>1500.0</v>
      </c>
      <c r="F300" s="43">
        <f t="shared" si="43"/>
        <v>52500</v>
      </c>
      <c r="G300" s="31"/>
      <c r="H300" s="31"/>
      <c r="I300" s="31"/>
      <c r="J300" s="31"/>
      <c r="K300" s="31"/>
      <c r="L300" s="31"/>
      <c r="M300" s="31"/>
      <c r="N300" s="31"/>
      <c r="O300" s="31"/>
      <c r="P300" s="31"/>
      <c r="Q300" s="31"/>
      <c r="R300" s="31"/>
      <c r="S300" s="31"/>
      <c r="T300" s="31"/>
      <c r="U300" s="31"/>
      <c r="V300" s="31"/>
      <c r="W300" s="31"/>
      <c r="X300" s="31"/>
      <c r="Y300" s="31"/>
      <c r="Z300" s="31"/>
    </row>
    <row r="301" ht="13.5" customHeight="1">
      <c r="A301" s="41" t="s">
        <v>150</v>
      </c>
      <c r="B301" s="41" t="str">
        <f t="shared" si="44"/>
        <v>Instrumentos de higiene dental</v>
      </c>
      <c r="C301" s="42" t="str">
        <f t="shared" si="42"/>
        <v/>
      </c>
      <c r="D301" s="41">
        <v>30.0</v>
      </c>
      <c r="E301" s="43">
        <v>1200.0</v>
      </c>
      <c r="F301" s="43">
        <f t="shared" si="43"/>
        <v>36000</v>
      </c>
      <c r="G301" s="31"/>
      <c r="H301" s="31"/>
      <c r="I301" s="31"/>
      <c r="J301" s="31"/>
      <c r="K301" s="31"/>
      <c r="L301" s="31"/>
      <c r="M301" s="31"/>
      <c r="N301" s="31"/>
      <c r="O301" s="31"/>
      <c r="P301" s="31"/>
      <c r="Q301" s="31"/>
      <c r="R301" s="31"/>
      <c r="S301" s="31"/>
      <c r="T301" s="31"/>
      <c r="U301" s="31"/>
      <c r="V301" s="31"/>
      <c r="W301" s="31"/>
      <c r="X301" s="31"/>
      <c r="Y301" s="31"/>
      <c r="Z301" s="31"/>
    </row>
    <row r="302" ht="13.5" customHeight="1">
      <c r="A302" s="31"/>
      <c r="B302" s="31"/>
      <c r="C302" s="31"/>
      <c r="D302" s="31"/>
      <c r="E302" s="44" t="s">
        <v>63</v>
      </c>
      <c r="F302" s="45">
        <f>SUM(PACC!$F$292:$F$301)</f>
        <v>700000</v>
      </c>
      <c r="G302" s="31"/>
      <c r="H302" s="31" t="str">
        <f>C285</f>
        <v>Bienes</v>
      </c>
      <c r="I302" s="31" t="str">
        <f>E285</f>
        <v>No</v>
      </c>
      <c r="J302" s="31" t="str">
        <f>D285</f>
        <v>Compras Menores</v>
      </c>
      <c r="K302" s="31"/>
      <c r="L302" s="31"/>
      <c r="M302" s="31"/>
      <c r="N302" s="31"/>
      <c r="O302" s="31"/>
      <c r="P302" s="31"/>
      <c r="Q302" s="31"/>
      <c r="R302" s="31"/>
      <c r="S302" s="31"/>
      <c r="T302" s="31"/>
      <c r="U302" s="31"/>
      <c r="V302" s="31"/>
      <c r="W302" s="31"/>
      <c r="X302" s="31"/>
      <c r="Y302" s="31"/>
      <c r="Z302" s="31"/>
    </row>
    <row r="303" ht="13.5" customHeight="1">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row>
    <row r="304" ht="33.75" customHeight="1">
      <c r="A304" s="32" t="s">
        <v>19</v>
      </c>
      <c r="B304" s="32" t="s">
        <v>20</v>
      </c>
      <c r="C304" s="32" t="s">
        <v>21</v>
      </c>
      <c r="D304" s="32" t="s">
        <v>22</v>
      </c>
      <c r="E304" s="32" t="s">
        <v>23</v>
      </c>
      <c r="F304" s="32" t="s">
        <v>24</v>
      </c>
      <c r="G304" s="31"/>
      <c r="H304" s="31"/>
      <c r="I304" s="31"/>
      <c r="J304" s="31"/>
      <c r="K304" s="31"/>
      <c r="L304" s="31"/>
      <c r="M304" s="31"/>
      <c r="N304" s="31"/>
      <c r="O304" s="31"/>
      <c r="P304" s="31"/>
      <c r="Q304" s="31"/>
      <c r="R304" s="31"/>
      <c r="S304" s="31"/>
      <c r="T304" s="31"/>
      <c r="U304" s="31"/>
      <c r="V304" s="31"/>
      <c r="W304" s="31"/>
      <c r="X304" s="31"/>
      <c r="Y304" s="31"/>
      <c r="Z304" s="31"/>
    </row>
    <row r="305" ht="13.5" customHeight="1">
      <c r="A305" s="33" t="s">
        <v>151</v>
      </c>
      <c r="B305" s="33" t="s">
        <v>152</v>
      </c>
      <c r="C305" s="33" t="s">
        <v>95</v>
      </c>
      <c r="D305" s="33" t="s">
        <v>103</v>
      </c>
      <c r="E305" s="33" t="s">
        <v>67</v>
      </c>
      <c r="F305" s="33"/>
      <c r="G305" s="31"/>
      <c r="H305" s="31"/>
      <c r="I305" s="31"/>
      <c r="J305" s="31"/>
      <c r="K305" s="31"/>
      <c r="L305" s="31"/>
      <c r="M305" s="31"/>
      <c r="N305" s="31"/>
      <c r="O305" s="31"/>
      <c r="P305" s="31"/>
      <c r="Q305" s="31"/>
      <c r="R305" s="31"/>
      <c r="S305" s="31"/>
      <c r="T305" s="31"/>
      <c r="U305" s="31"/>
      <c r="V305" s="31"/>
      <c r="W305" s="31"/>
      <c r="X305" s="31"/>
      <c r="Y305" s="31"/>
      <c r="Z305" s="31"/>
    </row>
    <row r="306" ht="13.5" customHeight="1">
      <c r="A306" s="34" t="s">
        <v>30</v>
      </c>
      <c r="B306" s="35" t="s">
        <v>31</v>
      </c>
      <c r="C306" s="36">
        <v>45033.0</v>
      </c>
      <c r="D306" s="34" t="s">
        <v>32</v>
      </c>
      <c r="E306" s="35" t="s">
        <v>33</v>
      </c>
      <c r="F306" s="37"/>
      <c r="G306" s="31"/>
      <c r="H306" s="31"/>
      <c r="I306" s="31"/>
      <c r="J306" s="31"/>
      <c r="K306" s="31"/>
      <c r="L306" s="31"/>
      <c r="M306" s="31"/>
      <c r="N306" s="31"/>
      <c r="O306" s="31"/>
      <c r="P306" s="31"/>
      <c r="Q306" s="31"/>
      <c r="R306" s="31"/>
      <c r="S306" s="31"/>
      <c r="T306" s="31"/>
      <c r="U306" s="31"/>
      <c r="V306" s="31"/>
      <c r="W306" s="31"/>
      <c r="X306" s="31"/>
      <c r="Y306" s="31"/>
      <c r="Z306" s="31"/>
    </row>
    <row r="307" ht="13.5" customHeight="1">
      <c r="A307" s="38"/>
      <c r="B307" s="35" t="s">
        <v>34</v>
      </c>
      <c r="C307" s="33">
        <f>IF(C306="","",IF(AND(MONTH(C306)&gt;=1,MONTH(C306)&lt;=3),1,IF(AND(MONTH(C306)&gt;=4,MONTH(C306)&lt;=6),2,IF(AND(MONTH(C306)&gt;=7,MONTH(C306)&lt;=9),3,4))))</f>
        <v>2</v>
      </c>
      <c r="D307" s="38"/>
      <c r="E307" s="35" t="s">
        <v>35</v>
      </c>
      <c r="F307" s="37"/>
      <c r="G307" s="31"/>
      <c r="H307" s="31"/>
      <c r="I307" s="31"/>
      <c r="J307" s="31"/>
      <c r="K307" s="31"/>
      <c r="L307" s="31"/>
      <c r="M307" s="31"/>
      <c r="N307" s="31"/>
      <c r="O307" s="31"/>
      <c r="P307" s="31"/>
      <c r="Q307" s="31"/>
      <c r="R307" s="31"/>
      <c r="S307" s="31"/>
      <c r="T307" s="31"/>
      <c r="U307" s="31"/>
      <c r="V307" s="31"/>
      <c r="W307" s="31"/>
      <c r="X307" s="31"/>
      <c r="Y307" s="31"/>
      <c r="Z307" s="31"/>
    </row>
    <row r="308" ht="13.5" customHeight="1">
      <c r="A308" s="38"/>
      <c r="B308" s="35" t="s">
        <v>36</v>
      </c>
      <c r="C308" s="36">
        <v>45061.0</v>
      </c>
      <c r="D308" s="38"/>
      <c r="E308" s="35" t="s">
        <v>37</v>
      </c>
      <c r="F308" s="37"/>
      <c r="G308" s="31"/>
      <c r="H308" s="31"/>
      <c r="I308" s="31"/>
      <c r="J308" s="31"/>
      <c r="K308" s="31"/>
      <c r="L308" s="31"/>
      <c r="M308" s="31"/>
      <c r="N308" s="31"/>
      <c r="O308" s="31"/>
      <c r="P308" s="31"/>
      <c r="Q308" s="31"/>
      <c r="R308" s="31"/>
      <c r="S308" s="31"/>
      <c r="T308" s="31"/>
      <c r="U308" s="31"/>
      <c r="V308" s="31"/>
      <c r="W308" s="31"/>
      <c r="X308" s="31"/>
      <c r="Y308" s="31"/>
      <c r="Z308" s="31"/>
    </row>
    <row r="309" ht="13.5" customHeight="1">
      <c r="A309" s="39"/>
      <c r="B309" s="35" t="s">
        <v>34</v>
      </c>
      <c r="C309" s="33">
        <f>IF(C308="","",IF(AND(MONTH(C308)&gt;=1,MONTH(C308)&lt;=3),1,IF(AND(MONTH(C308)&gt;=4,MONTH(C308)&lt;=6),2,IF(AND(MONTH(C308)&gt;=7,MONTH(C308)&lt;=9),3,4))))</f>
        <v>2</v>
      </c>
      <c r="D309" s="39"/>
      <c r="E309" s="35" t="s">
        <v>38</v>
      </c>
      <c r="F309" s="37"/>
      <c r="G309" s="31"/>
      <c r="H309" s="31"/>
      <c r="I309" s="31"/>
      <c r="J309" s="31"/>
      <c r="K309" s="31"/>
      <c r="L309" s="31"/>
      <c r="M309" s="31"/>
      <c r="N309" s="31"/>
      <c r="O309" s="31"/>
      <c r="P309" s="31"/>
      <c r="Q309" s="31"/>
      <c r="R309" s="31"/>
      <c r="S309" s="31"/>
      <c r="T309" s="31"/>
      <c r="U309" s="31"/>
      <c r="V309" s="31"/>
      <c r="W309" s="31"/>
      <c r="X309" s="31"/>
      <c r="Y309" s="31"/>
      <c r="Z309" s="31"/>
    </row>
    <row r="310" ht="13.5" customHeight="1">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row>
    <row r="311" ht="13.5" customHeight="1">
      <c r="A311" s="40" t="s">
        <v>39</v>
      </c>
      <c r="B311" s="40" t="s">
        <v>40</v>
      </c>
      <c r="C311" s="40" t="s">
        <v>41</v>
      </c>
      <c r="D311" s="40" t="s">
        <v>42</v>
      </c>
      <c r="E311" s="40" t="s">
        <v>43</v>
      </c>
      <c r="F311" s="40" t="s">
        <v>44</v>
      </c>
      <c r="G311" s="31"/>
      <c r="H311" s="31"/>
      <c r="I311" s="31"/>
      <c r="J311" s="31"/>
      <c r="K311" s="31"/>
      <c r="L311" s="31"/>
      <c r="M311" s="31"/>
      <c r="N311" s="31"/>
      <c r="O311" s="31"/>
      <c r="P311" s="31"/>
      <c r="Q311" s="31"/>
      <c r="R311" s="31"/>
      <c r="S311" s="31"/>
      <c r="T311" s="31"/>
      <c r="U311" s="31"/>
      <c r="V311" s="31"/>
      <c r="W311" s="31"/>
      <c r="X311" s="31"/>
      <c r="Y311" s="31"/>
      <c r="Z311" s="31"/>
    </row>
    <row r="312" ht="13.5" customHeight="1">
      <c r="A312" s="41" t="s">
        <v>153</v>
      </c>
      <c r="B312" s="41" t="str">
        <f t="array" ref="B312">IFERROR(INDEX(#REF!,MATCH(INDIRECT(ADDRESS(ROW(),COLUMN()-1,4)),#REF!,0)),IF(INDIRECT(ADDRESS(ROW(),COLUMN()-1,4))="72101507","Servicio de mantenimiento de edificios",""))</f>
        <v>Servicio de mantenimiento de edificios</v>
      </c>
      <c r="C312" s="42" t="str">
        <f t="shared" ref="C312:C313" si="45">IFERROR(VLOOKUP("UD",'Informacion '!P:Q,2,FALSE),"")</f>
        <v/>
      </c>
      <c r="D312" s="41">
        <v>1.0</v>
      </c>
      <c r="E312" s="43">
        <v>1000000.0</v>
      </c>
      <c r="F312" s="43">
        <f t="shared" ref="F312:F313" si="46">INDIRECT(ADDRESS(ROW(),COLUMN()-2,4))*INDIRECT(ADDRESS(ROW(),COLUMN()-1,4))</f>
        <v>1000000</v>
      </c>
      <c r="G312" s="31"/>
      <c r="H312" s="31"/>
      <c r="I312" s="31"/>
      <c r="J312" s="31"/>
      <c r="K312" s="31"/>
      <c r="L312" s="31"/>
      <c r="M312" s="31"/>
      <c r="N312" s="31"/>
      <c r="O312" s="31"/>
      <c r="P312" s="31"/>
      <c r="Q312" s="31"/>
      <c r="R312" s="31"/>
      <c r="S312" s="31"/>
      <c r="T312" s="31"/>
      <c r="U312" s="31"/>
      <c r="V312" s="31"/>
      <c r="W312" s="31"/>
      <c r="X312" s="31"/>
      <c r="Y312" s="31"/>
      <c r="Z312" s="31"/>
    </row>
    <row r="313" ht="13.5" customHeight="1">
      <c r="A313" s="41" t="s">
        <v>154</v>
      </c>
      <c r="B313" s="41" t="str">
        <f t="array" ref="B313">IFERROR(INDEX(#REF!,MATCH(INDIRECT(ADDRESS(ROW(),COLUMN()-1,4)),#REF!,0)),IF(INDIRECT(ADDRESS(ROW(),COLUMN()-1,4))="30222701","Oficinas",""))</f>
        <v>Oficinas</v>
      </c>
      <c r="C313" s="42" t="str">
        <f t="shared" si="45"/>
        <v/>
      </c>
      <c r="D313" s="41">
        <v>1.0</v>
      </c>
      <c r="E313" s="43">
        <v>600000.0</v>
      </c>
      <c r="F313" s="43">
        <f t="shared" si="46"/>
        <v>600000</v>
      </c>
      <c r="G313" s="31"/>
      <c r="H313" s="31"/>
      <c r="I313" s="31"/>
      <c r="J313" s="31"/>
      <c r="K313" s="31"/>
      <c r="L313" s="31"/>
      <c r="M313" s="31"/>
      <c r="N313" s="31"/>
      <c r="O313" s="31"/>
      <c r="P313" s="31"/>
      <c r="Q313" s="31"/>
      <c r="R313" s="31"/>
      <c r="S313" s="31"/>
      <c r="T313" s="31"/>
      <c r="U313" s="31"/>
      <c r="V313" s="31"/>
      <c r="W313" s="31"/>
      <c r="X313" s="31"/>
      <c r="Y313" s="31"/>
      <c r="Z313" s="31"/>
    </row>
    <row r="314" ht="13.5" customHeight="1">
      <c r="A314" s="31"/>
      <c r="B314" s="31"/>
      <c r="C314" s="31"/>
      <c r="D314" s="31"/>
      <c r="E314" s="44" t="s">
        <v>63</v>
      </c>
      <c r="F314" s="45">
        <f>SUM(PACC!$F$312:$F$313)</f>
        <v>1600000</v>
      </c>
      <c r="G314" s="31"/>
      <c r="H314" s="31" t="str">
        <f>C305</f>
        <v>Servicios</v>
      </c>
      <c r="I314" s="31" t="str">
        <f>E305</f>
        <v>No</v>
      </c>
      <c r="J314" s="31" t="str">
        <f>D305</f>
        <v>Comparacion de Precios</v>
      </c>
      <c r="K314" s="31"/>
      <c r="L314" s="31"/>
      <c r="M314" s="31"/>
      <c r="N314" s="31"/>
      <c r="O314" s="31"/>
      <c r="P314" s="31"/>
      <c r="Q314" s="31"/>
      <c r="R314" s="31"/>
      <c r="S314" s="31"/>
      <c r="T314" s="31"/>
      <c r="U314" s="31"/>
      <c r="V314" s="31"/>
      <c r="W314" s="31"/>
      <c r="X314" s="31"/>
      <c r="Y314" s="31"/>
      <c r="Z314" s="31"/>
    </row>
    <row r="315" ht="13.5" customHeight="1">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row>
    <row r="316" ht="33.75" customHeight="1">
      <c r="A316" s="32" t="s">
        <v>19</v>
      </c>
      <c r="B316" s="32" t="s">
        <v>20</v>
      </c>
      <c r="C316" s="32" t="s">
        <v>21</v>
      </c>
      <c r="D316" s="32" t="s">
        <v>22</v>
      </c>
      <c r="E316" s="32" t="s">
        <v>23</v>
      </c>
      <c r="F316" s="32" t="s">
        <v>24</v>
      </c>
      <c r="G316" s="31"/>
      <c r="H316" s="31"/>
      <c r="I316" s="31"/>
      <c r="J316" s="31"/>
      <c r="K316" s="31"/>
      <c r="L316" s="31"/>
      <c r="M316" s="31"/>
      <c r="N316" s="31"/>
      <c r="O316" s="31"/>
      <c r="P316" s="31"/>
      <c r="Q316" s="31"/>
      <c r="R316" s="31"/>
      <c r="S316" s="31"/>
      <c r="T316" s="31"/>
      <c r="U316" s="31"/>
      <c r="V316" s="31"/>
      <c r="W316" s="31"/>
      <c r="X316" s="31"/>
      <c r="Y316" s="31"/>
      <c r="Z316" s="31"/>
    </row>
    <row r="317" ht="13.5" customHeight="1">
      <c r="A317" s="33" t="s">
        <v>155</v>
      </c>
      <c r="B317" s="33" t="s">
        <v>156</v>
      </c>
      <c r="C317" s="33" t="s">
        <v>27</v>
      </c>
      <c r="D317" s="33" t="s">
        <v>116</v>
      </c>
      <c r="E317" s="33" t="s">
        <v>67</v>
      </c>
      <c r="F317" s="33"/>
      <c r="G317" s="31"/>
      <c r="H317" s="31"/>
      <c r="I317" s="31"/>
      <c r="J317" s="31"/>
      <c r="K317" s="31"/>
      <c r="L317" s="31"/>
      <c r="M317" s="31"/>
      <c r="N317" s="31"/>
      <c r="O317" s="31"/>
      <c r="P317" s="31"/>
      <c r="Q317" s="31"/>
      <c r="R317" s="31"/>
      <c r="S317" s="31"/>
      <c r="T317" s="31"/>
      <c r="U317" s="31"/>
      <c r="V317" s="31"/>
      <c r="W317" s="31"/>
      <c r="X317" s="31"/>
      <c r="Y317" s="31"/>
      <c r="Z317" s="31"/>
    </row>
    <row r="318" ht="13.5" customHeight="1">
      <c r="A318" s="34" t="s">
        <v>30</v>
      </c>
      <c r="B318" s="35" t="s">
        <v>31</v>
      </c>
      <c r="C318" s="36">
        <v>45117.0</v>
      </c>
      <c r="D318" s="34" t="s">
        <v>32</v>
      </c>
      <c r="E318" s="35" t="s">
        <v>33</v>
      </c>
      <c r="F318" s="37"/>
      <c r="G318" s="31"/>
      <c r="H318" s="31"/>
      <c r="I318" s="31"/>
      <c r="J318" s="31"/>
      <c r="K318" s="31"/>
      <c r="L318" s="31"/>
      <c r="M318" s="31"/>
      <c r="N318" s="31"/>
      <c r="O318" s="31"/>
      <c r="P318" s="31"/>
      <c r="Q318" s="31"/>
      <c r="R318" s="31"/>
      <c r="S318" s="31"/>
      <c r="T318" s="31"/>
      <c r="U318" s="31"/>
      <c r="V318" s="31"/>
      <c r="W318" s="31"/>
      <c r="X318" s="31"/>
      <c r="Y318" s="31"/>
      <c r="Z318" s="31"/>
    </row>
    <row r="319" ht="13.5" customHeight="1">
      <c r="A319" s="38"/>
      <c r="B319" s="35" t="s">
        <v>34</v>
      </c>
      <c r="C319" s="33">
        <f>IF(C318="","",IF(AND(MONTH(C318)&gt;=1,MONTH(C318)&lt;=3),1,IF(AND(MONTH(C318)&gt;=4,MONTH(C318)&lt;=6),2,IF(AND(MONTH(C318)&gt;=7,MONTH(C318)&lt;=9),3,4))))</f>
        <v>3</v>
      </c>
      <c r="D319" s="38"/>
      <c r="E319" s="35" t="s">
        <v>35</v>
      </c>
      <c r="F319" s="37"/>
      <c r="G319" s="31"/>
      <c r="H319" s="31"/>
      <c r="I319" s="31"/>
      <c r="J319" s="31"/>
      <c r="K319" s="31"/>
      <c r="L319" s="31"/>
      <c r="M319" s="31"/>
      <c r="N319" s="31"/>
      <c r="O319" s="31"/>
      <c r="P319" s="31"/>
      <c r="Q319" s="31"/>
      <c r="R319" s="31"/>
      <c r="S319" s="31"/>
      <c r="T319" s="31"/>
      <c r="U319" s="31"/>
      <c r="V319" s="31"/>
      <c r="W319" s="31"/>
      <c r="X319" s="31"/>
      <c r="Y319" s="31"/>
      <c r="Z319" s="31"/>
    </row>
    <row r="320" ht="13.5" customHeight="1">
      <c r="A320" s="38"/>
      <c r="B320" s="35" t="s">
        <v>36</v>
      </c>
      <c r="C320" s="36">
        <v>45132.0</v>
      </c>
      <c r="D320" s="38"/>
      <c r="E320" s="35" t="s">
        <v>37</v>
      </c>
      <c r="F320" s="37"/>
      <c r="G320" s="31"/>
      <c r="H320" s="31"/>
      <c r="I320" s="31"/>
      <c r="J320" s="31"/>
      <c r="K320" s="31"/>
      <c r="L320" s="31"/>
      <c r="M320" s="31"/>
      <c r="N320" s="31"/>
      <c r="O320" s="31"/>
      <c r="P320" s="31"/>
      <c r="Q320" s="31"/>
      <c r="R320" s="31"/>
      <c r="S320" s="31"/>
      <c r="T320" s="31"/>
      <c r="U320" s="31"/>
      <c r="V320" s="31"/>
      <c r="W320" s="31"/>
      <c r="X320" s="31"/>
      <c r="Y320" s="31"/>
      <c r="Z320" s="31"/>
    </row>
    <row r="321" ht="13.5" customHeight="1">
      <c r="A321" s="39"/>
      <c r="B321" s="35" t="s">
        <v>34</v>
      </c>
      <c r="C321" s="33">
        <f>IF(C320="","",IF(AND(MONTH(C320)&gt;=1,MONTH(C320)&lt;=3),1,IF(AND(MONTH(C320)&gt;=4,MONTH(C320)&lt;=6),2,IF(AND(MONTH(C320)&gt;=7,MONTH(C320)&lt;=9),3,4))))</f>
        <v>3</v>
      </c>
      <c r="D321" s="39"/>
      <c r="E321" s="35" t="s">
        <v>38</v>
      </c>
      <c r="F321" s="37"/>
      <c r="G321" s="31"/>
      <c r="H321" s="31"/>
      <c r="I321" s="31"/>
      <c r="J321" s="31"/>
      <c r="K321" s="31"/>
      <c r="L321" s="31"/>
      <c r="M321" s="31"/>
      <c r="N321" s="31"/>
      <c r="O321" s="31"/>
      <c r="P321" s="31"/>
      <c r="Q321" s="31"/>
      <c r="R321" s="31"/>
      <c r="S321" s="31"/>
      <c r="T321" s="31"/>
      <c r="U321" s="31"/>
      <c r="V321" s="31"/>
      <c r="W321" s="31"/>
      <c r="X321" s="31"/>
      <c r="Y321" s="31"/>
      <c r="Z321" s="31"/>
    </row>
    <row r="322" ht="13.5" customHeight="1">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row>
    <row r="323" ht="13.5" customHeight="1">
      <c r="A323" s="40" t="s">
        <v>39</v>
      </c>
      <c r="B323" s="40" t="s">
        <v>40</v>
      </c>
      <c r="C323" s="40" t="s">
        <v>41</v>
      </c>
      <c r="D323" s="40" t="s">
        <v>42</v>
      </c>
      <c r="E323" s="40" t="s">
        <v>43</v>
      </c>
      <c r="F323" s="40" t="s">
        <v>44</v>
      </c>
      <c r="G323" s="31"/>
      <c r="H323" s="31"/>
      <c r="I323" s="31"/>
      <c r="J323" s="31"/>
      <c r="K323" s="31"/>
      <c r="L323" s="31"/>
      <c r="M323" s="31"/>
      <c r="N323" s="31"/>
      <c r="O323" s="31"/>
      <c r="P323" s="31"/>
      <c r="Q323" s="31"/>
      <c r="R323" s="31"/>
      <c r="S323" s="31"/>
      <c r="T323" s="31"/>
      <c r="U323" s="31"/>
      <c r="V323" s="31"/>
      <c r="W323" s="31"/>
      <c r="X323" s="31"/>
      <c r="Y323" s="31"/>
      <c r="Z323" s="31"/>
    </row>
    <row r="324" ht="13.5" customHeight="1">
      <c r="A324" s="41" t="s">
        <v>157</v>
      </c>
      <c r="B324" s="41" t="str">
        <f t="shared" ref="B324:B326" si="47">IFERROR(INDEX(#REF!,MATCH(INDIRECT(ADDRESS(ROW(),COLUMN()-1,4)),#REF!,0)),IF(INDIRECT(ADDRESS(ROW(),COLUMN()-1,4))="52152004","Platos para uso doméstico",""))</f>
        <v>Platos para uso doméstico</v>
      </c>
      <c r="C324" s="42" t="str">
        <f t="shared" ref="C324:C335" si="48">IFERROR(VLOOKUP("UD",'Informacion '!P:Q,2,FALSE),"")</f>
        <v/>
      </c>
      <c r="D324" s="41">
        <v>200.0</v>
      </c>
      <c r="E324" s="43">
        <v>135.0</v>
      </c>
      <c r="F324" s="43">
        <f t="shared" ref="F324:F335" si="49">INDIRECT(ADDRESS(ROW(),COLUMN()-2,4))*INDIRECT(ADDRESS(ROW(),COLUMN()-1,4))</f>
        <v>27000</v>
      </c>
      <c r="G324" s="31"/>
      <c r="H324" s="31"/>
      <c r="I324" s="31"/>
      <c r="J324" s="31"/>
      <c r="K324" s="31"/>
      <c r="L324" s="31"/>
      <c r="M324" s="31"/>
      <c r="N324" s="31"/>
      <c r="O324" s="31"/>
      <c r="P324" s="31"/>
      <c r="Q324" s="31"/>
      <c r="R324" s="31"/>
      <c r="S324" s="31"/>
      <c r="T324" s="31"/>
      <c r="U324" s="31"/>
      <c r="V324" s="31"/>
      <c r="W324" s="31"/>
      <c r="X324" s="31"/>
      <c r="Y324" s="31"/>
      <c r="Z324" s="31"/>
    </row>
    <row r="325" ht="13.5" customHeight="1">
      <c r="A325" s="41" t="s">
        <v>157</v>
      </c>
      <c r="B325" s="41" t="str">
        <f t="shared" si="47"/>
        <v>Platos para uso doméstico</v>
      </c>
      <c r="C325" s="42" t="str">
        <f t="shared" si="48"/>
        <v/>
      </c>
      <c r="D325" s="41">
        <v>5.0</v>
      </c>
      <c r="E325" s="43">
        <v>2100.0</v>
      </c>
      <c r="F325" s="43">
        <f t="shared" si="49"/>
        <v>10500</v>
      </c>
      <c r="G325" s="31"/>
      <c r="H325" s="31"/>
      <c r="I325" s="31"/>
      <c r="J325" s="31"/>
      <c r="K325" s="31"/>
      <c r="L325" s="31"/>
      <c r="M325" s="31"/>
      <c r="N325" s="31"/>
      <c r="O325" s="31"/>
      <c r="P325" s="31"/>
      <c r="Q325" s="31"/>
      <c r="R325" s="31"/>
      <c r="S325" s="31"/>
      <c r="T325" s="31"/>
      <c r="U325" s="31"/>
      <c r="V325" s="31"/>
      <c r="W325" s="31"/>
      <c r="X325" s="31"/>
      <c r="Y325" s="31"/>
      <c r="Z325" s="31"/>
    </row>
    <row r="326" ht="13.5" customHeight="1">
      <c r="A326" s="41" t="s">
        <v>157</v>
      </c>
      <c r="B326" s="41" t="str">
        <f t="shared" si="47"/>
        <v>Platos para uso doméstico</v>
      </c>
      <c r="C326" s="42" t="str">
        <f t="shared" si="48"/>
        <v/>
      </c>
      <c r="D326" s="41">
        <v>200.0</v>
      </c>
      <c r="E326" s="43">
        <v>220.0</v>
      </c>
      <c r="F326" s="43">
        <f t="shared" si="49"/>
        <v>44000</v>
      </c>
      <c r="G326" s="31"/>
      <c r="H326" s="31"/>
      <c r="I326" s="31"/>
      <c r="J326" s="31"/>
      <c r="K326" s="31"/>
      <c r="L326" s="31"/>
      <c r="M326" s="31"/>
      <c r="N326" s="31"/>
      <c r="O326" s="31"/>
      <c r="P326" s="31"/>
      <c r="Q326" s="31"/>
      <c r="R326" s="31"/>
      <c r="S326" s="31"/>
      <c r="T326" s="31"/>
      <c r="U326" s="31"/>
      <c r="V326" s="31"/>
      <c r="W326" s="31"/>
      <c r="X326" s="31"/>
      <c r="Y326" s="31"/>
      <c r="Z326" s="31"/>
    </row>
    <row r="327" ht="13.5" customHeight="1">
      <c r="A327" s="41" t="s">
        <v>158</v>
      </c>
      <c r="B327" s="41" t="str">
        <f t="array" ref="B327">IFERROR(INDEX(#REF!,MATCH(INDIRECT(ADDRESS(ROW(),COLUMN()-1,4)),#REF!,0)),IF(INDIRECT(ADDRESS(ROW(),COLUMN()-1,4))="52152101","Tazas de café o té para uso doméstico",""))</f>
        <v>Tazas de café o té para uso doméstico</v>
      </c>
      <c r="C327" s="42" t="str">
        <f t="shared" si="48"/>
        <v/>
      </c>
      <c r="D327" s="41">
        <v>200.0</v>
      </c>
      <c r="E327" s="43">
        <v>145.0</v>
      </c>
      <c r="F327" s="43">
        <f t="shared" si="49"/>
        <v>29000</v>
      </c>
      <c r="G327" s="31"/>
      <c r="H327" s="31"/>
      <c r="I327" s="31"/>
      <c r="J327" s="31"/>
      <c r="K327" s="31"/>
      <c r="L327" s="31"/>
      <c r="M327" s="31"/>
      <c r="N327" s="31"/>
      <c r="O327" s="31"/>
      <c r="P327" s="31"/>
      <c r="Q327" s="31"/>
      <c r="R327" s="31"/>
      <c r="S327" s="31"/>
      <c r="T327" s="31"/>
      <c r="U327" s="31"/>
      <c r="V327" s="31"/>
      <c r="W327" s="31"/>
      <c r="X327" s="31"/>
      <c r="Y327" s="31"/>
      <c r="Z327" s="31"/>
    </row>
    <row r="328" ht="13.5" customHeight="1">
      <c r="A328" s="41" t="s">
        <v>159</v>
      </c>
      <c r="B328" s="41" t="str">
        <f t="array" ref="B328">IFERROR(INDEX(#REF!,MATCH(INDIRECT(ADDRESS(ROW(),COLUMN()-1,4)),#REF!,0)),IF(INDIRECT(ADDRESS(ROW(),COLUMN()-1,4))="52151704","Cucharas para uso doméstico",""))</f>
        <v>Cucharas para uso doméstico</v>
      </c>
      <c r="C328" s="42" t="str">
        <f t="shared" si="48"/>
        <v/>
      </c>
      <c r="D328" s="41">
        <v>200.0</v>
      </c>
      <c r="E328" s="43">
        <v>50.0</v>
      </c>
      <c r="F328" s="43">
        <f t="shared" si="49"/>
        <v>10000</v>
      </c>
      <c r="G328" s="31"/>
      <c r="H328" s="31"/>
      <c r="I328" s="31"/>
      <c r="J328" s="31"/>
      <c r="K328" s="31"/>
      <c r="L328" s="31"/>
      <c r="M328" s="31"/>
      <c r="N328" s="31"/>
      <c r="O328" s="31"/>
      <c r="P328" s="31"/>
      <c r="Q328" s="31"/>
      <c r="R328" s="31"/>
      <c r="S328" s="31"/>
      <c r="T328" s="31"/>
      <c r="U328" s="31"/>
      <c r="V328" s="31"/>
      <c r="W328" s="31"/>
      <c r="X328" s="31"/>
      <c r="Y328" s="31"/>
      <c r="Z328" s="31"/>
    </row>
    <row r="329" ht="13.5" customHeight="1">
      <c r="A329" s="41" t="s">
        <v>160</v>
      </c>
      <c r="B329" s="41" t="str">
        <f t="array" ref="B329">IFERROR(INDEX(#REF!,MATCH(INDIRECT(ADDRESS(ROW(),COLUMN()-1,4)),#REF!,0)),IF(INDIRECT(ADDRESS(ROW(),COLUMN()-1,4))="52151703","Tenedores para uso doméstico",""))</f>
        <v>Tenedores para uso doméstico</v>
      </c>
      <c r="C329" s="42" t="str">
        <f t="shared" si="48"/>
        <v/>
      </c>
      <c r="D329" s="41">
        <v>200.0</v>
      </c>
      <c r="E329" s="43">
        <v>105.0</v>
      </c>
      <c r="F329" s="43">
        <f t="shared" si="49"/>
        <v>21000</v>
      </c>
      <c r="G329" s="31"/>
      <c r="H329" s="31"/>
      <c r="I329" s="31"/>
      <c r="J329" s="31"/>
      <c r="K329" s="31"/>
      <c r="L329" s="31"/>
      <c r="M329" s="31"/>
      <c r="N329" s="31"/>
      <c r="O329" s="31"/>
      <c r="P329" s="31"/>
      <c r="Q329" s="31"/>
      <c r="R329" s="31"/>
      <c r="S329" s="31"/>
      <c r="T329" s="31"/>
      <c r="U329" s="31"/>
      <c r="V329" s="31"/>
      <c r="W329" s="31"/>
      <c r="X329" s="31"/>
      <c r="Y329" s="31"/>
      <c r="Z329" s="31"/>
    </row>
    <row r="330" ht="13.5" customHeight="1">
      <c r="A330" s="41" t="s">
        <v>161</v>
      </c>
      <c r="B330" s="41" t="str">
        <f t="array" ref="B330">IFERROR(INDEX(#REF!,MATCH(INDIRECT(ADDRESS(ROW(),COLUMN()-1,4)),#REF!,0)),IF(INDIRECT(ADDRESS(ROW(),COLUMN()-1,4))="52151702","Cuchillos para uso doméstico",""))</f>
        <v>Cuchillos para uso doméstico</v>
      </c>
      <c r="C330" s="42" t="str">
        <f t="shared" si="48"/>
        <v/>
      </c>
      <c r="D330" s="41">
        <v>200.0</v>
      </c>
      <c r="E330" s="43">
        <v>105.0</v>
      </c>
      <c r="F330" s="43">
        <f t="shared" si="49"/>
        <v>21000</v>
      </c>
      <c r="G330" s="31"/>
      <c r="H330" s="31"/>
      <c r="I330" s="31"/>
      <c r="J330" s="31"/>
      <c r="K330" s="31"/>
      <c r="L330" s="31"/>
      <c r="M330" s="31"/>
      <c r="N330" s="31"/>
      <c r="O330" s="31"/>
      <c r="P330" s="31"/>
      <c r="Q330" s="31"/>
      <c r="R330" s="31"/>
      <c r="S330" s="31"/>
      <c r="T330" s="31"/>
      <c r="U330" s="31"/>
      <c r="V330" s="31"/>
      <c r="W330" s="31"/>
      <c r="X330" s="31"/>
      <c r="Y330" s="31"/>
      <c r="Z330" s="31"/>
    </row>
    <row r="331" ht="13.5" customHeight="1">
      <c r="A331" s="41" t="s">
        <v>159</v>
      </c>
      <c r="B331" s="41" t="str">
        <f t="array" ref="B331">IFERROR(INDEX(#REF!,MATCH(INDIRECT(ADDRESS(ROW(),COLUMN()-1,4)),#REF!,0)),IF(INDIRECT(ADDRESS(ROW(),COLUMN()-1,4))="52151704","Cucharas para uso doméstico",""))</f>
        <v>Cucharas para uso doméstico</v>
      </c>
      <c r="C331" s="42" t="str">
        <f t="shared" si="48"/>
        <v/>
      </c>
      <c r="D331" s="41">
        <v>200.0</v>
      </c>
      <c r="E331" s="43">
        <v>105.0</v>
      </c>
      <c r="F331" s="43">
        <f t="shared" si="49"/>
        <v>21000</v>
      </c>
      <c r="G331" s="31"/>
      <c r="H331" s="31"/>
      <c r="I331" s="31"/>
      <c r="J331" s="31"/>
      <c r="K331" s="31"/>
      <c r="L331" s="31"/>
      <c r="M331" s="31"/>
      <c r="N331" s="31"/>
      <c r="O331" s="31"/>
      <c r="P331" s="31"/>
      <c r="Q331" s="31"/>
      <c r="R331" s="31"/>
      <c r="S331" s="31"/>
      <c r="T331" s="31"/>
      <c r="U331" s="31"/>
      <c r="V331" s="31"/>
      <c r="W331" s="31"/>
      <c r="X331" s="31"/>
      <c r="Y331" s="31"/>
      <c r="Z331" s="31"/>
    </row>
    <row r="332" ht="13.5" customHeight="1">
      <c r="A332" s="41" t="s">
        <v>162</v>
      </c>
      <c r="B332" s="41" t="str">
        <f t="array" ref="B332">IFERROR(INDEX(#REF!,MATCH(INDIRECT(ADDRESS(ROW(),COLUMN()-1,4)),#REF!,0)),IF(INDIRECT(ADDRESS(ROW(),COLUMN()-1,4))="52152016","Set de servicio de mesa para uso doméstico",""))</f>
        <v>Set de servicio de mesa para uso doméstico</v>
      </c>
      <c r="C332" s="42" t="str">
        <f t="shared" si="48"/>
        <v/>
      </c>
      <c r="D332" s="41">
        <v>10.0</v>
      </c>
      <c r="E332" s="43">
        <v>5200.0</v>
      </c>
      <c r="F332" s="43">
        <f t="shared" si="49"/>
        <v>52000</v>
      </c>
      <c r="G332" s="31"/>
      <c r="H332" s="31"/>
      <c r="I332" s="31"/>
      <c r="J332" s="31"/>
      <c r="K332" s="31"/>
      <c r="L332" s="31"/>
      <c r="M332" s="31"/>
      <c r="N332" s="31"/>
      <c r="O332" s="31"/>
      <c r="P332" s="31"/>
      <c r="Q332" s="31"/>
      <c r="R332" s="31"/>
      <c r="S332" s="31"/>
      <c r="T332" s="31"/>
      <c r="U332" s="31"/>
      <c r="V332" s="31"/>
      <c r="W332" s="31"/>
      <c r="X332" s="31"/>
      <c r="Y332" s="31"/>
      <c r="Z332" s="31"/>
    </row>
    <row r="333" ht="13.5" customHeight="1">
      <c r="A333" s="41" t="s">
        <v>163</v>
      </c>
      <c r="B333" s="41" t="str">
        <f t="array" ref="B333">IFERROR(INDEX(#REF!,MATCH(INDIRECT(ADDRESS(ROW(),COLUMN()-1,4)),#REF!,0)),IF(INDIRECT(ADDRESS(ROW(),COLUMN()-1,4))="48101903","Vasos para servicio de comidas",""))</f>
        <v>Vasos para servicio de comidas</v>
      </c>
      <c r="C333" s="42" t="str">
        <f t="shared" si="48"/>
        <v/>
      </c>
      <c r="D333" s="41">
        <v>200.0</v>
      </c>
      <c r="E333" s="43">
        <v>425.0</v>
      </c>
      <c r="F333" s="43">
        <f t="shared" si="49"/>
        <v>85000</v>
      </c>
      <c r="G333" s="31"/>
      <c r="H333" s="31"/>
      <c r="I333" s="31"/>
      <c r="J333" s="31"/>
      <c r="K333" s="31"/>
      <c r="L333" s="31"/>
      <c r="M333" s="31"/>
      <c r="N333" s="31"/>
      <c r="O333" s="31"/>
      <c r="P333" s="31"/>
      <c r="Q333" s="31"/>
      <c r="R333" s="31"/>
      <c r="S333" s="31"/>
      <c r="T333" s="31"/>
      <c r="U333" s="31"/>
      <c r="V333" s="31"/>
      <c r="W333" s="31"/>
      <c r="X333" s="31"/>
      <c r="Y333" s="31"/>
      <c r="Z333" s="31"/>
    </row>
    <row r="334" ht="13.5" customHeight="1">
      <c r="A334" s="41" t="s">
        <v>164</v>
      </c>
      <c r="B334" s="41" t="str">
        <f t="array" ref="B334">IFERROR(INDEX(#REF!,MATCH(INDIRECT(ADDRESS(ROW(),COLUMN()-1,4)),#REF!,0)),IF(INDIRECT(ADDRESS(ROW(),COLUMN()-1,4))="24112602","Frascos",""))</f>
        <v>Frascos</v>
      </c>
      <c r="C334" s="42" t="str">
        <f t="shared" si="48"/>
        <v/>
      </c>
      <c r="D334" s="41">
        <v>1000.0</v>
      </c>
      <c r="E334" s="43">
        <v>375.0</v>
      </c>
      <c r="F334" s="43">
        <f t="shared" si="49"/>
        <v>375000</v>
      </c>
      <c r="G334" s="31"/>
      <c r="H334" s="31"/>
      <c r="I334" s="31"/>
      <c r="J334" s="31"/>
      <c r="K334" s="31"/>
      <c r="L334" s="31"/>
      <c r="M334" s="31"/>
      <c r="N334" s="31"/>
      <c r="O334" s="31"/>
      <c r="P334" s="31"/>
      <c r="Q334" s="31"/>
      <c r="R334" s="31"/>
      <c r="S334" s="31"/>
      <c r="T334" s="31"/>
      <c r="U334" s="31"/>
      <c r="V334" s="31"/>
      <c r="W334" s="31"/>
      <c r="X334" s="31"/>
      <c r="Y334" s="31"/>
      <c r="Z334" s="31"/>
    </row>
    <row r="335" ht="13.5" customHeight="1">
      <c r="A335" s="41" t="s">
        <v>165</v>
      </c>
      <c r="B335" s="41" t="str">
        <f t="array" ref="B335">IFERROR(INDEX(#REF!,MATCH(INDIRECT(ADDRESS(ROW(),COLUMN()-1,4)),#REF!,0)),IF(INDIRECT(ADDRESS(ROW(),COLUMN()-1,4))="52152008","Teteras o cafeteras para uso doméstico",""))</f>
        <v>Teteras o cafeteras para uso doméstico</v>
      </c>
      <c r="C335" s="42" t="str">
        <f t="shared" si="48"/>
        <v/>
      </c>
      <c r="D335" s="41">
        <v>1.0</v>
      </c>
      <c r="E335" s="43">
        <v>4500.0</v>
      </c>
      <c r="F335" s="43">
        <f t="shared" si="49"/>
        <v>4500</v>
      </c>
      <c r="G335" s="31"/>
      <c r="H335" s="31"/>
      <c r="I335" s="31"/>
      <c r="J335" s="31"/>
      <c r="K335" s="31"/>
      <c r="L335" s="31"/>
      <c r="M335" s="31"/>
      <c r="N335" s="31"/>
      <c r="O335" s="31"/>
      <c r="P335" s="31"/>
      <c r="Q335" s="31"/>
      <c r="R335" s="31"/>
      <c r="S335" s="31"/>
      <c r="T335" s="31"/>
      <c r="U335" s="31"/>
      <c r="V335" s="31"/>
      <c r="W335" s="31"/>
      <c r="X335" s="31"/>
      <c r="Y335" s="31"/>
      <c r="Z335" s="31"/>
    </row>
    <row r="336" ht="13.5" customHeight="1">
      <c r="A336" s="31"/>
      <c r="B336" s="31"/>
      <c r="C336" s="31"/>
      <c r="D336" s="31"/>
      <c r="E336" s="44" t="s">
        <v>63</v>
      </c>
      <c r="F336" s="45">
        <f>SUM(PACC!$F$324:$F$335)</f>
        <v>700000</v>
      </c>
      <c r="G336" s="31"/>
      <c r="H336" s="31" t="str">
        <f>C317</f>
        <v>Bienes</v>
      </c>
      <c r="I336" s="31" t="str">
        <f>E317</f>
        <v>No</v>
      </c>
      <c r="J336" s="31" t="str">
        <f>D317</f>
        <v>Compras Menores</v>
      </c>
      <c r="K336" s="31"/>
      <c r="L336" s="31"/>
      <c r="M336" s="31"/>
      <c r="N336" s="31"/>
      <c r="O336" s="31"/>
      <c r="P336" s="31"/>
      <c r="Q336" s="31"/>
      <c r="R336" s="31"/>
      <c r="S336" s="31"/>
      <c r="T336" s="31"/>
      <c r="U336" s="31"/>
      <c r="V336" s="31"/>
      <c r="W336" s="31"/>
      <c r="X336" s="31"/>
      <c r="Y336" s="31"/>
      <c r="Z336" s="31"/>
    </row>
    <row r="337" ht="13.5" customHeight="1">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row>
    <row r="338" ht="33.75" customHeight="1">
      <c r="A338" s="32" t="s">
        <v>19</v>
      </c>
      <c r="B338" s="32" t="s">
        <v>20</v>
      </c>
      <c r="C338" s="32" t="s">
        <v>21</v>
      </c>
      <c r="D338" s="32" t="s">
        <v>22</v>
      </c>
      <c r="E338" s="32" t="s">
        <v>23</v>
      </c>
      <c r="F338" s="32" t="s">
        <v>24</v>
      </c>
      <c r="G338" s="31"/>
      <c r="H338" s="31"/>
      <c r="I338" s="31"/>
      <c r="J338" s="31"/>
      <c r="K338" s="31"/>
      <c r="L338" s="31"/>
      <c r="M338" s="31"/>
      <c r="N338" s="31"/>
      <c r="O338" s="31"/>
      <c r="P338" s="31"/>
      <c r="Q338" s="31"/>
      <c r="R338" s="31"/>
      <c r="S338" s="31"/>
      <c r="T338" s="31"/>
      <c r="U338" s="31"/>
      <c r="V338" s="31"/>
      <c r="W338" s="31"/>
      <c r="X338" s="31"/>
      <c r="Y338" s="31"/>
      <c r="Z338" s="31"/>
    </row>
    <row r="339" ht="13.5" customHeight="1">
      <c r="A339" s="33" t="s">
        <v>166</v>
      </c>
      <c r="B339" s="33" t="s">
        <v>167</v>
      </c>
      <c r="C339" s="33" t="s">
        <v>27</v>
      </c>
      <c r="D339" s="33" t="s">
        <v>116</v>
      </c>
      <c r="E339" s="33" t="s">
        <v>67</v>
      </c>
      <c r="F339" s="33"/>
      <c r="G339" s="31"/>
      <c r="H339" s="31"/>
      <c r="I339" s="31"/>
      <c r="J339" s="31"/>
      <c r="K339" s="31"/>
      <c r="L339" s="31"/>
      <c r="M339" s="31"/>
      <c r="N339" s="31"/>
      <c r="O339" s="31"/>
      <c r="P339" s="31"/>
      <c r="Q339" s="31"/>
      <c r="R339" s="31"/>
      <c r="S339" s="31"/>
      <c r="T339" s="31"/>
      <c r="U339" s="31"/>
      <c r="V339" s="31"/>
      <c r="W339" s="31"/>
      <c r="X339" s="31"/>
      <c r="Y339" s="31"/>
      <c r="Z339" s="31"/>
    </row>
    <row r="340" ht="13.5" customHeight="1">
      <c r="A340" s="34" t="s">
        <v>30</v>
      </c>
      <c r="B340" s="35" t="s">
        <v>31</v>
      </c>
      <c r="C340" s="36">
        <v>45049.0</v>
      </c>
      <c r="D340" s="34" t="s">
        <v>32</v>
      </c>
      <c r="E340" s="35" t="s">
        <v>33</v>
      </c>
      <c r="F340" s="37"/>
      <c r="G340" s="31"/>
      <c r="H340" s="31"/>
      <c r="I340" s="31"/>
      <c r="J340" s="31"/>
      <c r="K340" s="31"/>
      <c r="L340" s="31"/>
      <c r="M340" s="31"/>
      <c r="N340" s="31"/>
      <c r="O340" s="31"/>
      <c r="P340" s="31"/>
      <c r="Q340" s="31"/>
      <c r="R340" s="31"/>
      <c r="S340" s="31"/>
      <c r="T340" s="31"/>
      <c r="U340" s="31"/>
      <c r="V340" s="31"/>
      <c r="W340" s="31"/>
      <c r="X340" s="31"/>
      <c r="Y340" s="31"/>
      <c r="Z340" s="31"/>
    </row>
    <row r="341" ht="13.5" customHeight="1">
      <c r="A341" s="38"/>
      <c r="B341" s="35" t="s">
        <v>34</v>
      </c>
      <c r="C341" s="33">
        <f>IF(C340="","",IF(AND(MONTH(C340)&gt;=1,MONTH(C340)&lt;=3),1,IF(AND(MONTH(C340)&gt;=4,MONTH(C340)&lt;=6),2,IF(AND(MONTH(C340)&gt;=7,MONTH(C340)&lt;=9),3,4))))</f>
        <v>2</v>
      </c>
      <c r="D341" s="38"/>
      <c r="E341" s="35" t="s">
        <v>35</v>
      </c>
      <c r="F341" s="37"/>
      <c r="G341" s="31"/>
      <c r="H341" s="31"/>
      <c r="I341" s="31"/>
      <c r="J341" s="31"/>
      <c r="K341" s="31"/>
      <c r="L341" s="31"/>
      <c r="M341" s="31"/>
      <c r="N341" s="31"/>
      <c r="O341" s="31"/>
      <c r="P341" s="31"/>
      <c r="Q341" s="31"/>
      <c r="R341" s="31"/>
      <c r="S341" s="31"/>
      <c r="T341" s="31"/>
      <c r="U341" s="31"/>
      <c r="V341" s="31"/>
      <c r="W341" s="31"/>
      <c r="X341" s="31"/>
      <c r="Y341" s="31"/>
      <c r="Z341" s="31"/>
    </row>
    <row r="342" ht="13.5" customHeight="1">
      <c r="A342" s="38"/>
      <c r="B342" s="35" t="s">
        <v>36</v>
      </c>
      <c r="C342" s="36">
        <v>45063.0</v>
      </c>
      <c r="D342" s="38"/>
      <c r="E342" s="35" t="s">
        <v>37</v>
      </c>
      <c r="F342" s="37"/>
      <c r="G342" s="31"/>
      <c r="H342" s="31"/>
      <c r="I342" s="31"/>
      <c r="J342" s="31"/>
      <c r="K342" s="31"/>
      <c r="L342" s="31"/>
      <c r="M342" s="31"/>
      <c r="N342" s="31"/>
      <c r="O342" s="31"/>
      <c r="P342" s="31"/>
      <c r="Q342" s="31"/>
      <c r="R342" s="31"/>
      <c r="S342" s="31"/>
      <c r="T342" s="31"/>
      <c r="U342" s="31"/>
      <c r="V342" s="31"/>
      <c r="W342" s="31"/>
      <c r="X342" s="31"/>
      <c r="Y342" s="31"/>
      <c r="Z342" s="31"/>
    </row>
    <row r="343" ht="13.5" customHeight="1">
      <c r="A343" s="39"/>
      <c r="B343" s="35" t="s">
        <v>34</v>
      </c>
      <c r="C343" s="33">
        <f>IF(C342="","",IF(AND(MONTH(C342)&gt;=1,MONTH(C342)&lt;=3),1,IF(AND(MONTH(C342)&gt;=4,MONTH(C342)&lt;=6),2,IF(AND(MONTH(C342)&gt;=7,MONTH(C342)&lt;=9),3,4))))</f>
        <v>2</v>
      </c>
      <c r="D343" s="39"/>
      <c r="E343" s="35" t="s">
        <v>38</v>
      </c>
      <c r="F343" s="37"/>
      <c r="G343" s="31"/>
      <c r="H343" s="31"/>
      <c r="I343" s="31"/>
      <c r="J343" s="31"/>
      <c r="K343" s="31"/>
      <c r="L343" s="31"/>
      <c r="M343" s="31"/>
      <c r="N343" s="31"/>
      <c r="O343" s="31"/>
      <c r="P343" s="31"/>
      <c r="Q343" s="31"/>
      <c r="R343" s="31"/>
      <c r="S343" s="31"/>
      <c r="T343" s="31"/>
      <c r="U343" s="31"/>
      <c r="V343" s="31"/>
      <c r="W343" s="31"/>
      <c r="X343" s="31"/>
      <c r="Y343" s="31"/>
      <c r="Z343" s="31"/>
    </row>
    <row r="344" ht="13.5" customHeight="1">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row>
    <row r="345" ht="13.5" customHeight="1">
      <c r="A345" s="40" t="s">
        <v>39</v>
      </c>
      <c r="B345" s="40" t="s">
        <v>40</v>
      </c>
      <c r="C345" s="40" t="s">
        <v>41</v>
      </c>
      <c r="D345" s="40" t="s">
        <v>42</v>
      </c>
      <c r="E345" s="40" t="s">
        <v>43</v>
      </c>
      <c r="F345" s="40" t="s">
        <v>44</v>
      </c>
      <c r="G345" s="31"/>
      <c r="H345" s="31"/>
      <c r="I345" s="31"/>
      <c r="J345" s="31"/>
      <c r="K345" s="31"/>
      <c r="L345" s="31"/>
      <c r="M345" s="31"/>
      <c r="N345" s="31"/>
      <c r="O345" s="31"/>
      <c r="P345" s="31"/>
      <c r="Q345" s="31"/>
      <c r="R345" s="31"/>
      <c r="S345" s="31"/>
      <c r="T345" s="31"/>
      <c r="U345" s="31"/>
      <c r="V345" s="31"/>
      <c r="W345" s="31"/>
      <c r="X345" s="31"/>
      <c r="Y345" s="31"/>
      <c r="Z345" s="31"/>
    </row>
    <row r="346" ht="13.5" customHeight="1">
      <c r="A346" s="41" t="s">
        <v>168</v>
      </c>
      <c r="B346" s="41" t="str">
        <f t="array" ref="B346">IFERROR(INDEX(#REF!,MATCH(INDIRECT(ADDRESS(ROW(),COLUMN()-1,4)),#REF!,0)),IF(INDIRECT(ADDRESS(ROW(),COLUMN()-1,4))="53103001","Camisetas (t-shirts)",""))</f>
        <v>Camisetas (t-shirts)</v>
      </c>
      <c r="C346" s="42" t="str">
        <f t="shared" ref="C346:C347" si="50">IFERROR(VLOOKUP("UD",'Informacion '!P:Q,2,FALSE),"")</f>
        <v/>
      </c>
      <c r="D346" s="41">
        <v>600.0</v>
      </c>
      <c r="E346" s="43">
        <v>710.0</v>
      </c>
      <c r="F346" s="43">
        <f t="shared" ref="F346:F347" si="51">INDIRECT(ADDRESS(ROW(),COLUMN()-2,4))*INDIRECT(ADDRESS(ROW(),COLUMN()-1,4))</f>
        <v>426000</v>
      </c>
      <c r="G346" s="31"/>
      <c r="H346" s="31"/>
      <c r="I346" s="31"/>
      <c r="J346" s="31"/>
      <c r="K346" s="31"/>
      <c r="L346" s="31"/>
      <c r="M346" s="31"/>
      <c r="N346" s="31"/>
      <c r="O346" s="31"/>
      <c r="P346" s="31"/>
      <c r="Q346" s="31"/>
      <c r="R346" s="31"/>
      <c r="S346" s="31"/>
      <c r="T346" s="31"/>
      <c r="U346" s="31"/>
      <c r="V346" s="31"/>
      <c r="W346" s="31"/>
      <c r="X346" s="31"/>
      <c r="Y346" s="31"/>
      <c r="Z346" s="31"/>
    </row>
    <row r="347" ht="13.5" customHeight="1">
      <c r="A347" s="41" t="s">
        <v>169</v>
      </c>
      <c r="B347" s="41" t="str">
        <f t="array" ref="B347">IFERROR(INDEX(#REF!,MATCH(INDIRECT(ADDRESS(ROW(),COLUMN()-1,4)),#REF!,0)),IF(INDIRECT(ADDRESS(ROW(),COLUMN()-1,4))="53101502","Pantalones largos o cortos o pantalonetas para hombre",""))</f>
        <v>Pantalones largos o cortos o pantalonetas para hombre</v>
      </c>
      <c r="C347" s="42" t="str">
        <f t="shared" si="50"/>
        <v/>
      </c>
      <c r="D347" s="41">
        <v>50.0</v>
      </c>
      <c r="E347" s="43">
        <v>1480.0</v>
      </c>
      <c r="F347" s="43">
        <f t="shared" si="51"/>
        <v>74000</v>
      </c>
      <c r="G347" s="31"/>
      <c r="H347" s="31"/>
      <c r="I347" s="31"/>
      <c r="J347" s="31"/>
      <c r="K347" s="31"/>
      <c r="L347" s="31"/>
      <c r="M347" s="31"/>
      <c r="N347" s="31"/>
      <c r="O347" s="31"/>
      <c r="P347" s="31"/>
      <c r="Q347" s="31"/>
      <c r="R347" s="31"/>
      <c r="S347" s="31"/>
      <c r="T347" s="31"/>
      <c r="U347" s="31"/>
      <c r="V347" s="31"/>
      <c r="W347" s="31"/>
      <c r="X347" s="31"/>
      <c r="Y347" s="31"/>
      <c r="Z347" s="31"/>
    </row>
    <row r="348" ht="13.5" customHeight="1">
      <c r="A348" s="31"/>
      <c r="B348" s="31"/>
      <c r="C348" s="31"/>
      <c r="D348" s="31"/>
      <c r="E348" s="44" t="s">
        <v>63</v>
      </c>
      <c r="F348" s="45">
        <f>SUM(PACC!$F$346:$F$347)</f>
        <v>500000</v>
      </c>
      <c r="G348" s="31"/>
      <c r="H348" s="31" t="str">
        <f>C339</f>
        <v>Bienes</v>
      </c>
      <c r="I348" s="31" t="str">
        <f>E339</f>
        <v>No</v>
      </c>
      <c r="J348" s="31" t="str">
        <f>D339</f>
        <v>Compras Menores</v>
      </c>
      <c r="K348" s="31"/>
      <c r="L348" s="31"/>
      <c r="M348" s="31"/>
      <c r="N348" s="31"/>
      <c r="O348" s="31"/>
      <c r="P348" s="31"/>
      <c r="Q348" s="31"/>
      <c r="R348" s="31"/>
      <c r="S348" s="31"/>
      <c r="T348" s="31"/>
      <c r="U348" s="31"/>
      <c r="V348" s="31"/>
      <c r="W348" s="31"/>
      <c r="X348" s="31"/>
      <c r="Y348" s="31"/>
      <c r="Z348" s="31"/>
    </row>
    <row r="349" ht="13.5" customHeight="1">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row>
    <row r="350" ht="33.75" customHeight="1">
      <c r="A350" s="32" t="s">
        <v>19</v>
      </c>
      <c r="B350" s="32" t="s">
        <v>20</v>
      </c>
      <c r="C350" s="32" t="s">
        <v>21</v>
      </c>
      <c r="D350" s="32" t="s">
        <v>22</v>
      </c>
      <c r="E350" s="32" t="s">
        <v>23</v>
      </c>
      <c r="F350" s="32" t="s">
        <v>24</v>
      </c>
      <c r="G350" s="31"/>
      <c r="H350" s="31"/>
      <c r="I350" s="31"/>
      <c r="J350" s="31"/>
      <c r="K350" s="31"/>
      <c r="L350" s="31"/>
      <c r="M350" s="31"/>
      <c r="N350" s="31"/>
      <c r="O350" s="31"/>
      <c r="P350" s="31"/>
      <c r="Q350" s="31"/>
      <c r="R350" s="31"/>
      <c r="S350" s="31"/>
      <c r="T350" s="31"/>
      <c r="U350" s="31"/>
      <c r="V350" s="31"/>
      <c r="W350" s="31"/>
      <c r="X350" s="31"/>
      <c r="Y350" s="31"/>
      <c r="Z350" s="31"/>
    </row>
    <row r="351" ht="13.5" customHeight="1">
      <c r="A351" s="33" t="s">
        <v>170</v>
      </c>
      <c r="B351" s="33" t="s">
        <v>171</v>
      </c>
      <c r="C351" s="33" t="s">
        <v>27</v>
      </c>
      <c r="D351" s="33" t="s">
        <v>116</v>
      </c>
      <c r="E351" s="33" t="s">
        <v>67</v>
      </c>
      <c r="F351" s="33"/>
      <c r="G351" s="31"/>
      <c r="H351" s="31"/>
      <c r="I351" s="31"/>
      <c r="J351" s="31"/>
      <c r="K351" s="31"/>
      <c r="L351" s="31"/>
      <c r="M351" s="31"/>
      <c r="N351" s="31"/>
      <c r="O351" s="31"/>
      <c r="P351" s="31"/>
      <c r="Q351" s="31"/>
      <c r="R351" s="31"/>
      <c r="S351" s="31"/>
      <c r="T351" s="31"/>
      <c r="U351" s="31"/>
      <c r="V351" s="31"/>
      <c r="W351" s="31"/>
      <c r="X351" s="31"/>
      <c r="Y351" s="31"/>
      <c r="Z351" s="31"/>
    </row>
    <row r="352" ht="13.5" customHeight="1">
      <c r="A352" s="34" t="s">
        <v>30</v>
      </c>
      <c r="B352" s="35" t="s">
        <v>31</v>
      </c>
      <c r="C352" s="36">
        <v>45112.0</v>
      </c>
      <c r="D352" s="34" t="s">
        <v>32</v>
      </c>
      <c r="E352" s="35" t="s">
        <v>33</v>
      </c>
      <c r="F352" s="37"/>
      <c r="G352" s="31"/>
      <c r="H352" s="31"/>
      <c r="I352" s="31"/>
      <c r="J352" s="31"/>
      <c r="K352" s="31"/>
      <c r="L352" s="31"/>
      <c r="M352" s="31"/>
      <c r="N352" s="31"/>
      <c r="O352" s="31"/>
      <c r="P352" s="31"/>
      <c r="Q352" s="31"/>
      <c r="R352" s="31"/>
      <c r="S352" s="31"/>
      <c r="T352" s="31"/>
      <c r="U352" s="31"/>
      <c r="V352" s="31"/>
      <c r="W352" s="31"/>
      <c r="X352" s="31"/>
      <c r="Y352" s="31"/>
      <c r="Z352" s="31"/>
    </row>
    <row r="353" ht="13.5" customHeight="1">
      <c r="A353" s="38"/>
      <c r="B353" s="35" t="s">
        <v>34</v>
      </c>
      <c r="C353" s="33">
        <f>IF(C352="","",IF(AND(MONTH(C352)&gt;=1,MONTH(C352)&lt;=3),1,IF(AND(MONTH(C352)&gt;=4,MONTH(C352)&lt;=6),2,IF(AND(MONTH(C352)&gt;=7,MONTH(C352)&lt;=9),3,4))))</f>
        <v>3</v>
      </c>
      <c r="D353" s="38"/>
      <c r="E353" s="35" t="s">
        <v>35</v>
      </c>
      <c r="F353" s="37"/>
      <c r="G353" s="31"/>
      <c r="H353" s="31"/>
      <c r="I353" s="31"/>
      <c r="J353" s="31"/>
      <c r="K353" s="31"/>
      <c r="L353" s="31"/>
      <c r="M353" s="31"/>
      <c r="N353" s="31"/>
      <c r="O353" s="31"/>
      <c r="P353" s="31"/>
      <c r="Q353" s="31"/>
      <c r="R353" s="31"/>
      <c r="S353" s="31"/>
      <c r="T353" s="31"/>
      <c r="U353" s="31"/>
      <c r="V353" s="31"/>
      <c r="W353" s="31"/>
      <c r="X353" s="31"/>
      <c r="Y353" s="31"/>
      <c r="Z353" s="31"/>
    </row>
    <row r="354" ht="13.5" customHeight="1">
      <c r="A354" s="38"/>
      <c r="B354" s="35" t="s">
        <v>36</v>
      </c>
      <c r="C354" s="36">
        <v>45133.0</v>
      </c>
      <c r="D354" s="38"/>
      <c r="E354" s="35" t="s">
        <v>37</v>
      </c>
      <c r="F354" s="37"/>
      <c r="G354" s="31"/>
      <c r="H354" s="31"/>
      <c r="I354" s="31"/>
      <c r="J354" s="31"/>
      <c r="K354" s="31"/>
      <c r="L354" s="31"/>
      <c r="M354" s="31"/>
      <c r="N354" s="31"/>
      <c r="O354" s="31"/>
      <c r="P354" s="31"/>
      <c r="Q354" s="31"/>
      <c r="R354" s="31"/>
      <c r="S354" s="31"/>
      <c r="T354" s="31"/>
      <c r="U354" s="31"/>
      <c r="V354" s="31"/>
      <c r="W354" s="31"/>
      <c r="X354" s="31"/>
      <c r="Y354" s="31"/>
      <c r="Z354" s="31"/>
    </row>
    <row r="355" ht="13.5" customHeight="1">
      <c r="A355" s="39"/>
      <c r="B355" s="35" t="s">
        <v>34</v>
      </c>
      <c r="C355" s="33">
        <f>IF(C354="","",IF(AND(MONTH(C354)&gt;=1,MONTH(C354)&lt;=3),1,IF(AND(MONTH(C354)&gt;=4,MONTH(C354)&lt;=6),2,IF(AND(MONTH(C354)&gt;=7,MONTH(C354)&lt;=9),3,4))))</f>
        <v>3</v>
      </c>
      <c r="D355" s="39"/>
      <c r="E355" s="35" t="s">
        <v>38</v>
      </c>
      <c r="F355" s="37"/>
      <c r="G355" s="31"/>
      <c r="H355" s="31"/>
      <c r="I355" s="31"/>
      <c r="J355" s="31"/>
      <c r="K355" s="31"/>
      <c r="L355" s="31"/>
      <c r="M355" s="31"/>
      <c r="N355" s="31"/>
      <c r="O355" s="31"/>
      <c r="P355" s="31"/>
      <c r="Q355" s="31"/>
      <c r="R355" s="31"/>
      <c r="S355" s="31"/>
      <c r="T355" s="31"/>
      <c r="U355" s="31"/>
      <c r="V355" s="31"/>
      <c r="W355" s="31"/>
      <c r="X355" s="31"/>
      <c r="Y355" s="31"/>
      <c r="Z355" s="31"/>
    </row>
    <row r="356" ht="13.5" customHeight="1">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row>
    <row r="357" ht="13.5" customHeight="1">
      <c r="A357" s="40" t="s">
        <v>39</v>
      </c>
      <c r="B357" s="40" t="s">
        <v>40</v>
      </c>
      <c r="C357" s="40" t="s">
        <v>41</v>
      </c>
      <c r="D357" s="40" t="s">
        <v>42</v>
      </c>
      <c r="E357" s="40" t="s">
        <v>43</v>
      </c>
      <c r="F357" s="40" t="s">
        <v>44</v>
      </c>
      <c r="G357" s="31"/>
      <c r="H357" s="31"/>
      <c r="I357" s="31"/>
      <c r="J357" s="31"/>
      <c r="K357" s="31"/>
      <c r="L357" s="31"/>
      <c r="M357" s="31"/>
      <c r="N357" s="31"/>
      <c r="O357" s="31"/>
      <c r="P357" s="31"/>
      <c r="Q357" s="31"/>
      <c r="R357" s="31"/>
      <c r="S357" s="31"/>
      <c r="T357" s="31"/>
      <c r="U357" s="31"/>
      <c r="V357" s="31"/>
      <c r="W357" s="31"/>
      <c r="X357" s="31"/>
      <c r="Y357" s="31"/>
      <c r="Z357" s="31"/>
    </row>
    <row r="358" ht="13.5" customHeight="1">
      <c r="A358" s="41" t="s">
        <v>172</v>
      </c>
      <c r="B358" s="41" t="str">
        <f t="shared" ref="B358:B361" si="52">IFERROR(INDEX(#REF!,MATCH(INDIRECT(ADDRESS(ROW(),COLUMN()-1,4)),#REF!,0)),IF(INDIRECT(ADDRESS(ROW(),COLUMN()-1,4))="25172504","Neumáticos para automoviles o camiones ligeros",""))</f>
        <v>Neumáticos para automoviles o camiones ligeros</v>
      </c>
      <c r="C358" s="42" t="str">
        <f t="shared" ref="C358:C361" si="53">IFERROR(VLOOKUP("UD",'Informacion '!P:Q,2,FALSE),"")</f>
        <v/>
      </c>
      <c r="D358" s="41">
        <v>10.0</v>
      </c>
      <c r="E358" s="43">
        <v>15100.0</v>
      </c>
      <c r="F358" s="43">
        <f t="shared" ref="F358:F361" si="54">INDIRECT(ADDRESS(ROW(),COLUMN()-2,4))*INDIRECT(ADDRESS(ROW(),COLUMN()-1,4))</f>
        <v>151000</v>
      </c>
      <c r="G358" s="31"/>
      <c r="H358" s="31"/>
      <c r="I358" s="31"/>
      <c r="J358" s="31"/>
      <c r="K358" s="31"/>
      <c r="L358" s="31"/>
      <c r="M358" s="31"/>
      <c r="N358" s="31"/>
      <c r="O358" s="31"/>
      <c r="P358" s="31"/>
      <c r="Q358" s="31"/>
      <c r="R358" s="31"/>
      <c r="S358" s="31"/>
      <c r="T358" s="31"/>
      <c r="U358" s="31"/>
      <c r="V358" s="31"/>
      <c r="W358" s="31"/>
      <c r="X358" s="31"/>
      <c r="Y358" s="31"/>
      <c r="Z358" s="31"/>
    </row>
    <row r="359" ht="13.5" customHeight="1">
      <c r="A359" s="41" t="s">
        <v>172</v>
      </c>
      <c r="B359" s="41" t="str">
        <f t="shared" si="52"/>
        <v>Neumáticos para automoviles o camiones ligeros</v>
      </c>
      <c r="C359" s="42" t="str">
        <f t="shared" si="53"/>
        <v/>
      </c>
      <c r="D359" s="41">
        <v>16.0</v>
      </c>
      <c r="E359" s="43">
        <v>12500.0</v>
      </c>
      <c r="F359" s="43">
        <f t="shared" si="54"/>
        <v>200000</v>
      </c>
      <c r="G359" s="31"/>
      <c r="H359" s="31"/>
      <c r="I359" s="31"/>
      <c r="J359" s="31"/>
      <c r="K359" s="31"/>
      <c r="L359" s="31"/>
      <c r="M359" s="31"/>
      <c r="N359" s="31"/>
      <c r="O359" s="31"/>
      <c r="P359" s="31"/>
      <c r="Q359" s="31"/>
      <c r="R359" s="31"/>
      <c r="S359" s="31"/>
      <c r="T359" s="31"/>
      <c r="U359" s="31"/>
      <c r="V359" s="31"/>
      <c r="W359" s="31"/>
      <c r="X359" s="31"/>
      <c r="Y359" s="31"/>
      <c r="Z359" s="31"/>
    </row>
    <row r="360" ht="13.5" customHeight="1">
      <c r="A360" s="41" t="s">
        <v>172</v>
      </c>
      <c r="B360" s="41" t="str">
        <f t="shared" si="52"/>
        <v>Neumáticos para automoviles o camiones ligeros</v>
      </c>
      <c r="C360" s="42" t="str">
        <f t="shared" si="53"/>
        <v/>
      </c>
      <c r="D360" s="41">
        <v>8.0</v>
      </c>
      <c r="E360" s="43">
        <v>16000.0</v>
      </c>
      <c r="F360" s="43">
        <f t="shared" si="54"/>
        <v>128000</v>
      </c>
      <c r="G360" s="31"/>
      <c r="H360" s="31"/>
      <c r="I360" s="31"/>
      <c r="J360" s="31"/>
      <c r="K360" s="31"/>
      <c r="L360" s="31"/>
      <c r="M360" s="31"/>
      <c r="N360" s="31"/>
      <c r="O360" s="31"/>
      <c r="P360" s="31"/>
      <c r="Q360" s="31"/>
      <c r="R360" s="31"/>
      <c r="S360" s="31"/>
      <c r="T360" s="31"/>
      <c r="U360" s="31"/>
      <c r="V360" s="31"/>
      <c r="W360" s="31"/>
      <c r="X360" s="31"/>
      <c r="Y360" s="31"/>
      <c r="Z360" s="31"/>
    </row>
    <row r="361" ht="13.5" customHeight="1">
      <c r="A361" s="41" t="s">
        <v>172</v>
      </c>
      <c r="B361" s="41" t="str">
        <f t="shared" si="52"/>
        <v>Neumáticos para automoviles o camiones ligeros</v>
      </c>
      <c r="C361" s="42" t="str">
        <f t="shared" si="53"/>
        <v/>
      </c>
      <c r="D361" s="41">
        <v>2.0</v>
      </c>
      <c r="E361" s="43">
        <v>10500.0</v>
      </c>
      <c r="F361" s="43">
        <f t="shared" si="54"/>
        <v>21000</v>
      </c>
      <c r="G361" s="31"/>
      <c r="H361" s="31"/>
      <c r="I361" s="31"/>
      <c r="J361" s="31"/>
      <c r="K361" s="31"/>
      <c r="L361" s="31"/>
      <c r="M361" s="31"/>
      <c r="N361" s="31"/>
      <c r="O361" s="31"/>
      <c r="P361" s="31"/>
      <c r="Q361" s="31"/>
      <c r="R361" s="31"/>
      <c r="S361" s="31"/>
      <c r="T361" s="31"/>
      <c r="U361" s="31"/>
      <c r="V361" s="31"/>
      <c r="W361" s="31"/>
      <c r="X361" s="31"/>
      <c r="Y361" s="31"/>
      <c r="Z361" s="31"/>
    </row>
    <row r="362" ht="13.5" customHeight="1">
      <c r="A362" s="31"/>
      <c r="B362" s="31"/>
      <c r="C362" s="31"/>
      <c r="D362" s="31"/>
      <c r="E362" s="44" t="s">
        <v>63</v>
      </c>
      <c r="F362" s="45">
        <f>SUM(PACC!$F$358:$F$361)</f>
        <v>500000</v>
      </c>
      <c r="G362" s="31"/>
      <c r="H362" s="31" t="str">
        <f>C351</f>
        <v>Bienes</v>
      </c>
      <c r="I362" s="31" t="str">
        <f>E351</f>
        <v>No</v>
      </c>
      <c r="J362" s="31" t="str">
        <f>D351</f>
        <v>Compras Menores</v>
      </c>
      <c r="K362" s="31"/>
      <c r="L362" s="31"/>
      <c r="M362" s="31"/>
      <c r="N362" s="31"/>
      <c r="O362" s="31"/>
      <c r="P362" s="31"/>
      <c r="Q362" s="31"/>
      <c r="R362" s="31"/>
      <c r="S362" s="31"/>
      <c r="T362" s="31"/>
      <c r="U362" s="31"/>
      <c r="V362" s="31"/>
      <c r="W362" s="31"/>
      <c r="X362" s="31"/>
      <c r="Y362" s="31"/>
      <c r="Z362" s="31"/>
    </row>
    <row r="363" ht="13.5" customHeight="1">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row>
    <row r="364" ht="33.75" customHeight="1">
      <c r="A364" s="32" t="s">
        <v>19</v>
      </c>
      <c r="B364" s="32" t="s">
        <v>20</v>
      </c>
      <c r="C364" s="32" t="s">
        <v>21</v>
      </c>
      <c r="D364" s="32" t="s">
        <v>22</v>
      </c>
      <c r="E364" s="32" t="s">
        <v>23</v>
      </c>
      <c r="F364" s="32" t="s">
        <v>24</v>
      </c>
      <c r="G364" s="31"/>
      <c r="H364" s="31"/>
      <c r="I364" s="31"/>
      <c r="J364" s="31"/>
      <c r="K364" s="31"/>
      <c r="L364" s="31"/>
      <c r="M364" s="31"/>
      <c r="N364" s="31"/>
      <c r="O364" s="31"/>
      <c r="P364" s="31"/>
      <c r="Q364" s="31"/>
      <c r="R364" s="31"/>
      <c r="S364" s="31"/>
      <c r="T364" s="31"/>
      <c r="U364" s="31"/>
      <c r="V364" s="31"/>
      <c r="W364" s="31"/>
      <c r="X364" s="31"/>
      <c r="Y364" s="31"/>
      <c r="Z364" s="31"/>
    </row>
    <row r="365" ht="13.5" customHeight="1">
      <c r="A365" s="33" t="s">
        <v>173</v>
      </c>
      <c r="B365" s="33" t="s">
        <v>174</v>
      </c>
      <c r="C365" s="33" t="s">
        <v>27</v>
      </c>
      <c r="D365" s="33" t="s">
        <v>116</v>
      </c>
      <c r="E365" s="33" t="s">
        <v>67</v>
      </c>
      <c r="F365" s="33"/>
      <c r="G365" s="31"/>
      <c r="H365" s="31"/>
      <c r="I365" s="31"/>
      <c r="J365" s="31"/>
      <c r="K365" s="31"/>
      <c r="L365" s="31"/>
      <c r="M365" s="31"/>
      <c r="N365" s="31"/>
      <c r="O365" s="31"/>
      <c r="P365" s="31"/>
      <c r="Q365" s="31"/>
      <c r="R365" s="31"/>
      <c r="S365" s="31"/>
      <c r="T365" s="31"/>
      <c r="U365" s="31"/>
      <c r="V365" s="31"/>
      <c r="W365" s="31"/>
      <c r="X365" s="31"/>
      <c r="Y365" s="31"/>
      <c r="Z365" s="31"/>
    </row>
    <row r="366" ht="13.5" customHeight="1">
      <c r="A366" s="34" t="s">
        <v>30</v>
      </c>
      <c r="B366" s="35" t="s">
        <v>31</v>
      </c>
      <c r="C366" s="36">
        <v>45050.0</v>
      </c>
      <c r="D366" s="34" t="s">
        <v>32</v>
      </c>
      <c r="E366" s="35" t="s">
        <v>33</v>
      </c>
      <c r="F366" s="37"/>
      <c r="G366" s="31"/>
      <c r="H366" s="31"/>
      <c r="I366" s="31"/>
      <c r="J366" s="31"/>
      <c r="K366" s="31"/>
      <c r="L366" s="31"/>
      <c r="M366" s="31"/>
      <c r="N366" s="31"/>
      <c r="O366" s="31"/>
      <c r="P366" s="31"/>
      <c r="Q366" s="31"/>
      <c r="R366" s="31"/>
      <c r="S366" s="31"/>
      <c r="T366" s="31"/>
      <c r="U366" s="31"/>
      <c r="V366" s="31"/>
      <c r="W366" s="31"/>
      <c r="X366" s="31"/>
      <c r="Y366" s="31"/>
      <c r="Z366" s="31"/>
    </row>
    <row r="367" ht="13.5" customHeight="1">
      <c r="A367" s="38"/>
      <c r="B367" s="35" t="s">
        <v>34</v>
      </c>
      <c r="C367" s="33">
        <f>IF(C366="","",IF(AND(MONTH(C366)&gt;=1,MONTH(C366)&lt;=3),1,IF(AND(MONTH(C366)&gt;=4,MONTH(C366)&lt;=6),2,IF(AND(MONTH(C366)&gt;=7,MONTH(C366)&lt;=9),3,4))))</f>
        <v>2</v>
      </c>
      <c r="D367" s="38"/>
      <c r="E367" s="35" t="s">
        <v>35</v>
      </c>
      <c r="F367" s="37"/>
      <c r="G367" s="31"/>
      <c r="H367" s="31"/>
      <c r="I367" s="31"/>
      <c r="J367" s="31"/>
      <c r="K367" s="31"/>
      <c r="L367" s="31"/>
      <c r="M367" s="31"/>
      <c r="N367" s="31"/>
      <c r="O367" s="31"/>
      <c r="P367" s="31"/>
      <c r="Q367" s="31"/>
      <c r="R367" s="31"/>
      <c r="S367" s="31"/>
      <c r="T367" s="31"/>
      <c r="U367" s="31"/>
      <c r="V367" s="31"/>
      <c r="W367" s="31"/>
      <c r="X367" s="31"/>
      <c r="Y367" s="31"/>
      <c r="Z367" s="31"/>
    </row>
    <row r="368" ht="13.5" customHeight="1">
      <c r="A368" s="38"/>
      <c r="B368" s="35" t="s">
        <v>36</v>
      </c>
      <c r="C368" s="36">
        <v>45064.0</v>
      </c>
      <c r="D368" s="38"/>
      <c r="E368" s="35" t="s">
        <v>37</v>
      </c>
      <c r="F368" s="37"/>
      <c r="G368" s="31"/>
      <c r="H368" s="31"/>
      <c r="I368" s="31"/>
      <c r="J368" s="31"/>
      <c r="K368" s="31"/>
      <c r="L368" s="31"/>
      <c r="M368" s="31"/>
      <c r="N368" s="31"/>
      <c r="O368" s="31"/>
      <c r="P368" s="31"/>
      <c r="Q368" s="31"/>
      <c r="R368" s="31"/>
      <c r="S368" s="31"/>
      <c r="T368" s="31"/>
      <c r="U368" s="31"/>
      <c r="V368" s="31"/>
      <c r="W368" s="31"/>
      <c r="X368" s="31"/>
      <c r="Y368" s="31"/>
      <c r="Z368" s="31"/>
    </row>
    <row r="369" ht="13.5" customHeight="1">
      <c r="A369" s="39"/>
      <c r="B369" s="35" t="s">
        <v>34</v>
      </c>
      <c r="C369" s="33">
        <f>IF(C368="","",IF(AND(MONTH(C368)&gt;=1,MONTH(C368)&lt;=3),1,IF(AND(MONTH(C368)&gt;=4,MONTH(C368)&lt;=6),2,IF(AND(MONTH(C368)&gt;=7,MONTH(C368)&lt;=9),3,4))))</f>
        <v>2</v>
      </c>
      <c r="D369" s="39"/>
      <c r="E369" s="35" t="s">
        <v>38</v>
      </c>
      <c r="F369" s="37"/>
      <c r="G369" s="31"/>
      <c r="H369" s="31"/>
      <c r="I369" s="31"/>
      <c r="J369" s="31"/>
      <c r="K369" s="31"/>
      <c r="L369" s="31"/>
      <c r="M369" s="31"/>
      <c r="N369" s="31"/>
      <c r="O369" s="31"/>
      <c r="P369" s="31"/>
      <c r="Q369" s="31"/>
      <c r="R369" s="31"/>
      <c r="S369" s="31"/>
      <c r="T369" s="31"/>
      <c r="U369" s="31"/>
      <c r="V369" s="31"/>
      <c r="W369" s="31"/>
      <c r="X369" s="31"/>
      <c r="Y369" s="31"/>
      <c r="Z369" s="31"/>
    </row>
    <row r="370" ht="13.5" customHeight="1">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row>
    <row r="371" ht="13.5" customHeight="1">
      <c r="A371" s="40" t="s">
        <v>39</v>
      </c>
      <c r="B371" s="40" t="s">
        <v>40</v>
      </c>
      <c r="C371" s="40" t="s">
        <v>41</v>
      </c>
      <c r="D371" s="40" t="s">
        <v>42</v>
      </c>
      <c r="E371" s="40" t="s">
        <v>43</v>
      </c>
      <c r="F371" s="40" t="s">
        <v>44</v>
      </c>
      <c r="G371" s="31"/>
      <c r="H371" s="31"/>
      <c r="I371" s="31"/>
      <c r="J371" s="31"/>
      <c r="K371" s="31"/>
      <c r="L371" s="31"/>
      <c r="M371" s="31"/>
      <c r="N371" s="31"/>
      <c r="O371" s="31"/>
      <c r="P371" s="31"/>
      <c r="Q371" s="31"/>
      <c r="R371" s="31"/>
      <c r="S371" s="31"/>
      <c r="T371" s="31"/>
      <c r="U371" s="31"/>
      <c r="V371" s="31"/>
      <c r="W371" s="31"/>
      <c r="X371" s="31"/>
      <c r="Y371" s="31"/>
      <c r="Z371" s="31"/>
    </row>
    <row r="372" ht="13.5" customHeight="1">
      <c r="A372" s="41" t="s">
        <v>175</v>
      </c>
      <c r="B372" s="41" t="str">
        <f t="array" ref="B372">IFERROR(INDEX(#REF!,MATCH(INDIRECT(ADDRESS(ROW(),COLUMN()-1,4)),#REF!,0)),IF(INDIRECT(ADDRESS(ROW(),COLUMN()-1,4))="53131613","Productos para el cuidado de la piel",""))</f>
        <v>Productos para el cuidado de la piel</v>
      </c>
      <c r="C372" s="42" t="str">
        <f>IFERROR(VLOOKUP("UD",'Informacion '!P:Q,2,FALSE),"")</f>
        <v/>
      </c>
      <c r="D372" s="41">
        <v>1000.0</v>
      </c>
      <c r="E372" s="43">
        <v>500.0</v>
      </c>
      <c r="F372" s="43">
        <f>INDIRECT(ADDRESS(ROW(),COLUMN()-2,4))*INDIRECT(ADDRESS(ROW(),COLUMN()-1,4))</f>
        <v>500000</v>
      </c>
      <c r="G372" s="31"/>
      <c r="H372" s="31"/>
      <c r="I372" s="31"/>
      <c r="J372" s="31"/>
      <c r="K372" s="31"/>
      <c r="L372" s="31"/>
      <c r="M372" s="31"/>
      <c r="N372" s="31"/>
      <c r="O372" s="31"/>
      <c r="P372" s="31"/>
      <c r="Q372" s="31"/>
      <c r="R372" s="31"/>
      <c r="S372" s="31"/>
      <c r="T372" s="31"/>
      <c r="U372" s="31"/>
      <c r="V372" s="31"/>
      <c r="W372" s="31"/>
      <c r="X372" s="31"/>
      <c r="Y372" s="31"/>
      <c r="Z372" s="31"/>
    </row>
    <row r="373" ht="13.5" customHeight="1">
      <c r="A373" s="31"/>
      <c r="B373" s="31"/>
      <c r="C373" s="31"/>
      <c r="D373" s="31"/>
      <c r="E373" s="44" t="s">
        <v>63</v>
      </c>
      <c r="F373" s="45">
        <f>SUM(PACC!$F$372)</f>
        <v>500000</v>
      </c>
      <c r="G373" s="31"/>
      <c r="H373" s="31" t="str">
        <f>C365</f>
        <v>Bienes</v>
      </c>
      <c r="I373" s="31" t="str">
        <f>E365</f>
        <v>No</v>
      </c>
      <c r="J373" s="31" t="str">
        <f>D365</f>
        <v>Compras Menores</v>
      </c>
      <c r="K373" s="31"/>
      <c r="L373" s="31"/>
      <c r="M373" s="31"/>
      <c r="N373" s="31"/>
      <c r="O373" s="31"/>
      <c r="P373" s="31"/>
      <c r="Q373" s="31"/>
      <c r="R373" s="31"/>
      <c r="S373" s="31"/>
      <c r="T373" s="31"/>
      <c r="U373" s="31"/>
      <c r="V373" s="31"/>
      <c r="W373" s="31"/>
      <c r="X373" s="31"/>
      <c r="Y373" s="31"/>
      <c r="Z373" s="31"/>
    </row>
    <row r="374" ht="13.5" customHeight="1">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row>
    <row r="375" ht="33.75" customHeight="1">
      <c r="A375" s="32" t="s">
        <v>19</v>
      </c>
      <c r="B375" s="32" t="s">
        <v>20</v>
      </c>
      <c r="C375" s="32" t="s">
        <v>21</v>
      </c>
      <c r="D375" s="32" t="s">
        <v>22</v>
      </c>
      <c r="E375" s="32" t="s">
        <v>23</v>
      </c>
      <c r="F375" s="32" t="s">
        <v>24</v>
      </c>
      <c r="G375" s="31"/>
      <c r="H375" s="31"/>
      <c r="I375" s="31"/>
      <c r="J375" s="31"/>
      <c r="K375" s="31"/>
      <c r="L375" s="31"/>
      <c r="M375" s="31"/>
      <c r="N375" s="31"/>
      <c r="O375" s="31"/>
      <c r="P375" s="31"/>
      <c r="Q375" s="31"/>
      <c r="R375" s="31"/>
      <c r="S375" s="31"/>
      <c r="T375" s="31"/>
      <c r="U375" s="31"/>
      <c r="V375" s="31"/>
      <c r="W375" s="31"/>
      <c r="X375" s="31"/>
      <c r="Y375" s="31"/>
      <c r="Z375" s="31"/>
    </row>
    <row r="376" ht="13.5" customHeight="1">
      <c r="A376" s="33" t="s">
        <v>176</v>
      </c>
      <c r="B376" s="33" t="s">
        <v>177</v>
      </c>
      <c r="C376" s="33" t="s">
        <v>27</v>
      </c>
      <c r="D376" s="33" t="s">
        <v>116</v>
      </c>
      <c r="E376" s="33" t="s">
        <v>67</v>
      </c>
      <c r="F376" s="33"/>
      <c r="G376" s="31"/>
      <c r="H376" s="31"/>
      <c r="I376" s="31"/>
      <c r="J376" s="31"/>
      <c r="K376" s="31"/>
      <c r="L376" s="31"/>
      <c r="M376" s="31"/>
      <c r="N376" s="31"/>
      <c r="O376" s="31"/>
      <c r="P376" s="31"/>
      <c r="Q376" s="31"/>
      <c r="R376" s="31"/>
      <c r="S376" s="31"/>
      <c r="T376" s="31"/>
      <c r="U376" s="31"/>
      <c r="V376" s="31"/>
      <c r="W376" s="31"/>
      <c r="X376" s="31"/>
      <c r="Y376" s="31"/>
      <c r="Z376" s="31"/>
    </row>
    <row r="377" ht="13.5" customHeight="1">
      <c r="A377" s="34" t="s">
        <v>30</v>
      </c>
      <c r="B377" s="35" t="s">
        <v>31</v>
      </c>
      <c r="C377" s="36">
        <v>45056.0</v>
      </c>
      <c r="D377" s="34" t="s">
        <v>32</v>
      </c>
      <c r="E377" s="35" t="s">
        <v>33</v>
      </c>
      <c r="F377" s="37"/>
      <c r="G377" s="31"/>
      <c r="H377" s="31"/>
      <c r="I377" s="31"/>
      <c r="J377" s="31"/>
      <c r="K377" s="31"/>
      <c r="L377" s="31"/>
      <c r="M377" s="31"/>
      <c r="N377" s="31"/>
      <c r="O377" s="31"/>
      <c r="P377" s="31"/>
      <c r="Q377" s="31"/>
      <c r="R377" s="31"/>
      <c r="S377" s="31"/>
      <c r="T377" s="31"/>
      <c r="U377" s="31"/>
      <c r="V377" s="31"/>
      <c r="W377" s="31"/>
      <c r="X377" s="31"/>
      <c r="Y377" s="31"/>
      <c r="Z377" s="31"/>
    </row>
    <row r="378" ht="13.5" customHeight="1">
      <c r="A378" s="38"/>
      <c r="B378" s="35" t="s">
        <v>34</v>
      </c>
      <c r="C378" s="33">
        <f>IF(C377="","",IF(AND(MONTH(C377)&gt;=1,MONTH(C377)&lt;=3),1,IF(AND(MONTH(C377)&gt;=4,MONTH(C377)&lt;=6),2,IF(AND(MONTH(C377)&gt;=7,MONTH(C377)&lt;=9),3,4))))</f>
        <v>2</v>
      </c>
      <c r="D378" s="38"/>
      <c r="E378" s="35" t="s">
        <v>35</v>
      </c>
      <c r="F378" s="37"/>
      <c r="G378" s="31"/>
      <c r="H378" s="31"/>
      <c r="I378" s="31"/>
      <c r="J378" s="31"/>
      <c r="K378" s="31"/>
      <c r="L378" s="31"/>
      <c r="M378" s="31"/>
      <c r="N378" s="31"/>
      <c r="O378" s="31"/>
      <c r="P378" s="31"/>
      <c r="Q378" s="31"/>
      <c r="R378" s="31"/>
      <c r="S378" s="31"/>
      <c r="T378" s="31"/>
      <c r="U378" s="31"/>
      <c r="V378" s="31"/>
      <c r="W378" s="31"/>
      <c r="X378" s="31"/>
      <c r="Y378" s="31"/>
      <c r="Z378" s="31"/>
    </row>
    <row r="379" ht="13.5" customHeight="1">
      <c r="A379" s="38"/>
      <c r="B379" s="35" t="s">
        <v>36</v>
      </c>
      <c r="C379" s="36">
        <v>45070.0</v>
      </c>
      <c r="D379" s="38"/>
      <c r="E379" s="35" t="s">
        <v>37</v>
      </c>
      <c r="F379" s="37"/>
      <c r="G379" s="31"/>
      <c r="H379" s="31"/>
      <c r="I379" s="31"/>
      <c r="J379" s="31"/>
      <c r="K379" s="31"/>
      <c r="L379" s="31"/>
      <c r="M379" s="31"/>
      <c r="N379" s="31"/>
      <c r="O379" s="31"/>
      <c r="P379" s="31"/>
      <c r="Q379" s="31"/>
      <c r="R379" s="31"/>
      <c r="S379" s="31"/>
      <c r="T379" s="31"/>
      <c r="U379" s="31"/>
      <c r="V379" s="31"/>
      <c r="W379" s="31"/>
      <c r="X379" s="31"/>
      <c r="Y379" s="31"/>
      <c r="Z379" s="31"/>
    </row>
    <row r="380" ht="13.5" customHeight="1">
      <c r="A380" s="39"/>
      <c r="B380" s="35" t="s">
        <v>34</v>
      </c>
      <c r="C380" s="33">
        <f>IF(C379="","",IF(AND(MONTH(C379)&gt;=1,MONTH(C379)&lt;=3),1,IF(AND(MONTH(C379)&gt;=4,MONTH(C379)&lt;=6),2,IF(AND(MONTH(C379)&gt;=7,MONTH(C379)&lt;=9),3,4))))</f>
        <v>2</v>
      </c>
      <c r="D380" s="39"/>
      <c r="E380" s="35" t="s">
        <v>38</v>
      </c>
      <c r="F380" s="37"/>
      <c r="G380" s="31"/>
      <c r="H380" s="31"/>
      <c r="I380" s="31"/>
      <c r="J380" s="31"/>
      <c r="K380" s="31"/>
      <c r="L380" s="31"/>
      <c r="M380" s="31"/>
      <c r="N380" s="31"/>
      <c r="O380" s="31"/>
      <c r="P380" s="31"/>
      <c r="Q380" s="31"/>
      <c r="R380" s="31"/>
      <c r="S380" s="31"/>
      <c r="T380" s="31"/>
      <c r="U380" s="31"/>
      <c r="V380" s="31"/>
      <c r="W380" s="31"/>
      <c r="X380" s="31"/>
      <c r="Y380" s="31"/>
      <c r="Z380" s="31"/>
    </row>
    <row r="381" ht="13.5" customHeight="1">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row>
    <row r="382" ht="13.5" customHeight="1">
      <c r="A382" s="40" t="s">
        <v>39</v>
      </c>
      <c r="B382" s="40" t="s">
        <v>40</v>
      </c>
      <c r="C382" s="40" t="s">
        <v>41</v>
      </c>
      <c r="D382" s="40" t="s">
        <v>42</v>
      </c>
      <c r="E382" s="40" t="s">
        <v>43</v>
      </c>
      <c r="F382" s="40" t="s">
        <v>44</v>
      </c>
      <c r="G382" s="31"/>
      <c r="H382" s="31"/>
      <c r="I382" s="31"/>
      <c r="J382" s="31"/>
      <c r="K382" s="31"/>
      <c r="L382" s="31"/>
      <c r="M382" s="31"/>
      <c r="N382" s="31"/>
      <c r="O382" s="31"/>
      <c r="P382" s="31"/>
      <c r="Q382" s="31"/>
      <c r="R382" s="31"/>
      <c r="S382" s="31"/>
      <c r="T382" s="31"/>
      <c r="U382" s="31"/>
      <c r="V382" s="31"/>
      <c r="W382" s="31"/>
      <c r="X382" s="31"/>
      <c r="Y382" s="31"/>
      <c r="Z382" s="31"/>
    </row>
    <row r="383" ht="13.5" customHeight="1">
      <c r="A383" s="41" t="s">
        <v>178</v>
      </c>
      <c r="B383" s="41" t="str">
        <f t="array" ref="B383">IFERROR(INDEX(#REF!,MATCH(INDIRECT(ADDRESS(ROW(),COLUMN()-1,4)),#REF!,0)),IF(INDIRECT(ADDRESS(ROW(),COLUMN()-1,4))="45121506","Cámaras de video conferencia",""))</f>
        <v>Cámaras de video conferencia</v>
      </c>
      <c r="C383" s="42" t="str">
        <f>IFERROR(VLOOKUP("UD",'Informacion '!P:Q,2,FALSE),"")</f>
        <v/>
      </c>
      <c r="D383" s="41">
        <v>1.0</v>
      </c>
      <c r="E383" s="43">
        <v>500000.0</v>
      </c>
      <c r="F383" s="43">
        <f>INDIRECT(ADDRESS(ROW(),COLUMN()-2,4))*INDIRECT(ADDRESS(ROW(),COLUMN()-1,4))</f>
        <v>500000</v>
      </c>
      <c r="G383" s="31"/>
      <c r="H383" s="31"/>
      <c r="I383" s="31"/>
      <c r="J383" s="31"/>
      <c r="K383" s="31"/>
      <c r="L383" s="31"/>
      <c r="M383" s="31"/>
      <c r="N383" s="31"/>
      <c r="O383" s="31"/>
      <c r="P383" s="31"/>
      <c r="Q383" s="31"/>
      <c r="R383" s="31"/>
      <c r="S383" s="31"/>
      <c r="T383" s="31"/>
      <c r="U383" s="31"/>
      <c r="V383" s="31"/>
      <c r="W383" s="31"/>
      <c r="X383" s="31"/>
      <c r="Y383" s="31"/>
      <c r="Z383" s="31"/>
    </row>
    <row r="384" ht="13.5" customHeight="1">
      <c r="A384" s="31"/>
      <c r="B384" s="31"/>
      <c r="C384" s="31"/>
      <c r="D384" s="31"/>
      <c r="E384" s="44" t="s">
        <v>63</v>
      </c>
      <c r="F384" s="45">
        <f>SUM(PACC!$F$383)</f>
        <v>500000</v>
      </c>
      <c r="G384" s="31"/>
      <c r="H384" s="31" t="str">
        <f>C376</f>
        <v>Bienes</v>
      </c>
      <c r="I384" s="31" t="str">
        <f>E376</f>
        <v>No</v>
      </c>
      <c r="J384" s="31" t="str">
        <f>D376</f>
        <v>Compras Menores</v>
      </c>
      <c r="K384" s="31"/>
      <c r="L384" s="31"/>
      <c r="M384" s="31"/>
      <c r="N384" s="31"/>
      <c r="O384" s="31"/>
      <c r="P384" s="31"/>
      <c r="Q384" s="31"/>
      <c r="R384" s="31"/>
      <c r="S384" s="31"/>
      <c r="T384" s="31"/>
      <c r="U384" s="31"/>
      <c r="V384" s="31"/>
      <c r="W384" s="31"/>
      <c r="X384" s="31"/>
      <c r="Y384" s="31"/>
      <c r="Z384" s="31"/>
    </row>
    <row r="385" ht="13.5" customHeight="1">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row>
    <row r="386" ht="33.75" customHeight="1">
      <c r="A386" s="32" t="s">
        <v>19</v>
      </c>
      <c r="B386" s="32" t="s">
        <v>20</v>
      </c>
      <c r="C386" s="32" t="s">
        <v>21</v>
      </c>
      <c r="D386" s="32" t="s">
        <v>22</v>
      </c>
      <c r="E386" s="32" t="s">
        <v>23</v>
      </c>
      <c r="F386" s="32" t="s">
        <v>24</v>
      </c>
      <c r="G386" s="31"/>
      <c r="H386" s="31"/>
      <c r="I386" s="31"/>
      <c r="J386" s="31"/>
      <c r="K386" s="31"/>
      <c r="L386" s="31"/>
      <c r="M386" s="31"/>
      <c r="N386" s="31"/>
      <c r="O386" s="31"/>
      <c r="P386" s="31"/>
      <c r="Q386" s="31"/>
      <c r="R386" s="31"/>
      <c r="S386" s="31"/>
      <c r="T386" s="31"/>
      <c r="U386" s="31"/>
      <c r="V386" s="31"/>
      <c r="W386" s="31"/>
      <c r="X386" s="31"/>
      <c r="Y386" s="31"/>
      <c r="Z386" s="31"/>
    </row>
    <row r="387" ht="13.5" customHeight="1">
      <c r="A387" s="33" t="s">
        <v>179</v>
      </c>
      <c r="B387" s="33" t="s">
        <v>180</v>
      </c>
      <c r="C387" s="33" t="s">
        <v>27</v>
      </c>
      <c r="D387" s="33" t="s">
        <v>116</v>
      </c>
      <c r="E387" s="33" t="s">
        <v>67</v>
      </c>
      <c r="F387" s="33"/>
      <c r="G387" s="31"/>
      <c r="H387" s="31"/>
      <c r="I387" s="31"/>
      <c r="J387" s="31"/>
      <c r="K387" s="31"/>
      <c r="L387" s="31"/>
      <c r="M387" s="31"/>
      <c r="N387" s="31"/>
      <c r="O387" s="31"/>
      <c r="P387" s="31"/>
      <c r="Q387" s="31"/>
      <c r="R387" s="31"/>
      <c r="S387" s="31"/>
      <c r="T387" s="31"/>
      <c r="U387" s="31"/>
      <c r="V387" s="31"/>
      <c r="W387" s="31"/>
      <c r="X387" s="31"/>
      <c r="Y387" s="31"/>
      <c r="Z387" s="31"/>
    </row>
    <row r="388" ht="13.5" customHeight="1">
      <c r="A388" s="34" t="s">
        <v>30</v>
      </c>
      <c r="B388" s="35" t="s">
        <v>31</v>
      </c>
      <c r="C388" s="36">
        <v>45034.0</v>
      </c>
      <c r="D388" s="34" t="s">
        <v>32</v>
      </c>
      <c r="E388" s="35" t="s">
        <v>33</v>
      </c>
      <c r="F388" s="37"/>
      <c r="G388" s="31"/>
      <c r="H388" s="31"/>
      <c r="I388" s="31"/>
      <c r="J388" s="31"/>
      <c r="K388" s="31"/>
      <c r="L388" s="31"/>
      <c r="M388" s="31"/>
      <c r="N388" s="31"/>
      <c r="O388" s="31"/>
      <c r="P388" s="31"/>
      <c r="Q388" s="31"/>
      <c r="R388" s="31"/>
      <c r="S388" s="31"/>
      <c r="T388" s="31"/>
      <c r="U388" s="31"/>
      <c r="V388" s="31"/>
      <c r="W388" s="31"/>
      <c r="X388" s="31"/>
      <c r="Y388" s="31"/>
      <c r="Z388" s="31"/>
    </row>
    <row r="389" ht="13.5" customHeight="1">
      <c r="A389" s="38"/>
      <c r="B389" s="35" t="s">
        <v>34</v>
      </c>
      <c r="C389" s="33">
        <f>IF(C388="","",IF(AND(MONTH(C388)&gt;=1,MONTH(C388)&lt;=3),1,IF(AND(MONTH(C388)&gt;=4,MONTH(C388)&lt;=6),2,IF(AND(MONTH(C388)&gt;=7,MONTH(C388)&lt;=9),3,4))))</f>
        <v>2</v>
      </c>
      <c r="D389" s="38"/>
      <c r="E389" s="35" t="s">
        <v>35</v>
      </c>
      <c r="F389" s="37"/>
      <c r="G389" s="31"/>
      <c r="H389" s="31"/>
      <c r="I389" s="31"/>
      <c r="J389" s="31"/>
      <c r="K389" s="31"/>
      <c r="L389" s="31"/>
      <c r="M389" s="31"/>
      <c r="N389" s="31"/>
      <c r="O389" s="31"/>
      <c r="P389" s="31"/>
      <c r="Q389" s="31"/>
      <c r="R389" s="31"/>
      <c r="S389" s="31"/>
      <c r="T389" s="31"/>
      <c r="U389" s="31"/>
      <c r="V389" s="31"/>
      <c r="W389" s="31"/>
      <c r="X389" s="31"/>
      <c r="Y389" s="31"/>
      <c r="Z389" s="31"/>
    </row>
    <row r="390" ht="13.5" customHeight="1">
      <c r="A390" s="38"/>
      <c r="B390" s="35" t="s">
        <v>36</v>
      </c>
      <c r="C390" s="36">
        <v>45061.0</v>
      </c>
      <c r="D390" s="38"/>
      <c r="E390" s="35" t="s">
        <v>37</v>
      </c>
      <c r="F390" s="37"/>
      <c r="G390" s="31"/>
      <c r="H390" s="31"/>
      <c r="I390" s="31"/>
      <c r="J390" s="31"/>
      <c r="K390" s="31"/>
      <c r="L390" s="31"/>
      <c r="M390" s="31"/>
      <c r="N390" s="31"/>
      <c r="O390" s="31"/>
      <c r="P390" s="31"/>
      <c r="Q390" s="31"/>
      <c r="R390" s="31"/>
      <c r="S390" s="31"/>
      <c r="T390" s="31"/>
      <c r="U390" s="31"/>
      <c r="V390" s="31"/>
      <c r="W390" s="31"/>
      <c r="X390" s="31"/>
      <c r="Y390" s="31"/>
      <c r="Z390" s="31"/>
    </row>
    <row r="391" ht="13.5" customHeight="1">
      <c r="A391" s="39"/>
      <c r="B391" s="35" t="s">
        <v>34</v>
      </c>
      <c r="C391" s="33">
        <f>IF(C390="","",IF(AND(MONTH(C390)&gt;=1,MONTH(C390)&lt;=3),1,IF(AND(MONTH(C390)&gt;=4,MONTH(C390)&lt;=6),2,IF(AND(MONTH(C390)&gt;=7,MONTH(C390)&lt;=9),3,4))))</f>
        <v>2</v>
      </c>
      <c r="D391" s="39"/>
      <c r="E391" s="35" t="s">
        <v>38</v>
      </c>
      <c r="F391" s="37"/>
      <c r="G391" s="31"/>
      <c r="H391" s="31"/>
      <c r="I391" s="31"/>
      <c r="J391" s="31"/>
      <c r="K391" s="31"/>
      <c r="L391" s="31"/>
      <c r="M391" s="31"/>
      <c r="N391" s="31"/>
      <c r="O391" s="31"/>
      <c r="P391" s="31"/>
      <c r="Q391" s="31"/>
      <c r="R391" s="31"/>
      <c r="S391" s="31"/>
      <c r="T391" s="31"/>
      <c r="U391" s="31"/>
      <c r="V391" s="31"/>
      <c r="W391" s="31"/>
      <c r="X391" s="31"/>
      <c r="Y391" s="31"/>
      <c r="Z391" s="31"/>
    </row>
    <row r="392" ht="13.5" customHeight="1">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row>
    <row r="393" ht="13.5" customHeight="1">
      <c r="A393" s="40" t="s">
        <v>39</v>
      </c>
      <c r="B393" s="40" t="s">
        <v>40</v>
      </c>
      <c r="C393" s="40" t="s">
        <v>41</v>
      </c>
      <c r="D393" s="40" t="s">
        <v>42</v>
      </c>
      <c r="E393" s="40" t="s">
        <v>43</v>
      </c>
      <c r="F393" s="40" t="s">
        <v>44</v>
      </c>
      <c r="G393" s="31"/>
      <c r="H393" s="31"/>
      <c r="I393" s="31"/>
      <c r="J393" s="31"/>
      <c r="K393" s="31"/>
      <c r="L393" s="31"/>
      <c r="M393" s="31"/>
      <c r="N393" s="31"/>
      <c r="O393" s="31"/>
      <c r="P393" s="31"/>
      <c r="Q393" s="31"/>
      <c r="R393" s="31"/>
      <c r="S393" s="31"/>
      <c r="T393" s="31"/>
      <c r="U393" s="31"/>
      <c r="V393" s="31"/>
      <c r="W393" s="31"/>
      <c r="X393" s="31"/>
      <c r="Y393" s="31"/>
      <c r="Z393" s="31"/>
    </row>
    <row r="394" ht="13.5" customHeight="1">
      <c r="A394" s="41" t="s">
        <v>181</v>
      </c>
      <c r="B394" s="41" t="str">
        <f t="array" ref="B394">IFERROR(INDEX(#REF!,MATCH(INDIRECT(ADDRESS(ROW(),COLUMN()-1,4)),#REF!,0)),IF(INDIRECT(ADDRESS(ROW(),COLUMN()-1,4))="24101601","Ascensores",""))</f>
        <v>Ascensores</v>
      </c>
      <c r="C394" s="42" t="str">
        <f>IFERROR(VLOOKUP("UD",'Informacion '!P:Q,2,FALSE),"")</f>
        <v/>
      </c>
      <c r="D394" s="41">
        <v>1.0</v>
      </c>
      <c r="E394" s="43">
        <v>500000.0</v>
      </c>
      <c r="F394" s="43">
        <f>INDIRECT(ADDRESS(ROW(),COLUMN()-2,4))*INDIRECT(ADDRESS(ROW(),COLUMN()-1,4))</f>
        <v>500000</v>
      </c>
      <c r="G394" s="31"/>
      <c r="H394" s="31"/>
      <c r="I394" s="31"/>
      <c r="J394" s="31"/>
      <c r="K394" s="31"/>
      <c r="L394" s="31"/>
      <c r="M394" s="31"/>
      <c r="N394" s="31"/>
      <c r="O394" s="31"/>
      <c r="P394" s="31"/>
      <c r="Q394" s="31"/>
      <c r="R394" s="31"/>
      <c r="S394" s="31"/>
      <c r="T394" s="31"/>
      <c r="U394" s="31"/>
      <c r="V394" s="31"/>
      <c r="W394" s="31"/>
      <c r="X394" s="31"/>
      <c r="Y394" s="31"/>
      <c r="Z394" s="31"/>
    </row>
    <row r="395" ht="13.5" customHeight="1">
      <c r="A395" s="31"/>
      <c r="B395" s="31"/>
      <c r="C395" s="31"/>
      <c r="D395" s="31"/>
      <c r="E395" s="44" t="s">
        <v>63</v>
      </c>
      <c r="F395" s="45">
        <f>SUM(PACC!$F$394)</f>
        <v>500000</v>
      </c>
      <c r="G395" s="31"/>
      <c r="H395" s="31" t="str">
        <f>C387</f>
        <v>Bienes</v>
      </c>
      <c r="I395" s="31" t="str">
        <f>E387</f>
        <v>No</v>
      </c>
      <c r="J395" s="31" t="str">
        <f>D387</f>
        <v>Compras Menores</v>
      </c>
      <c r="K395" s="31"/>
      <c r="L395" s="31"/>
      <c r="M395" s="31"/>
      <c r="N395" s="31"/>
      <c r="O395" s="31"/>
      <c r="P395" s="31"/>
      <c r="Q395" s="31"/>
      <c r="R395" s="31"/>
      <c r="S395" s="31"/>
      <c r="T395" s="31"/>
      <c r="U395" s="31"/>
      <c r="V395" s="31"/>
      <c r="W395" s="31"/>
      <c r="X395" s="31"/>
      <c r="Y395" s="31"/>
      <c r="Z395" s="31"/>
    </row>
    <row r="396" ht="13.5" customHeight="1">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row>
    <row r="397" ht="33.75" customHeight="1">
      <c r="A397" s="32" t="s">
        <v>19</v>
      </c>
      <c r="B397" s="32" t="s">
        <v>20</v>
      </c>
      <c r="C397" s="32" t="s">
        <v>21</v>
      </c>
      <c r="D397" s="32" t="s">
        <v>22</v>
      </c>
      <c r="E397" s="32" t="s">
        <v>23</v>
      </c>
      <c r="F397" s="32" t="s">
        <v>24</v>
      </c>
      <c r="G397" s="31"/>
      <c r="H397" s="31"/>
      <c r="I397" s="31"/>
      <c r="J397" s="31"/>
      <c r="K397" s="31"/>
      <c r="L397" s="31"/>
      <c r="M397" s="31"/>
      <c r="N397" s="31"/>
      <c r="O397" s="31"/>
      <c r="P397" s="31"/>
      <c r="Q397" s="31"/>
      <c r="R397" s="31"/>
      <c r="S397" s="31"/>
      <c r="T397" s="31"/>
      <c r="U397" s="31"/>
      <c r="V397" s="31"/>
      <c r="W397" s="31"/>
      <c r="X397" s="31"/>
      <c r="Y397" s="31"/>
      <c r="Z397" s="31"/>
    </row>
    <row r="398" ht="13.5" customHeight="1">
      <c r="A398" s="33" t="s">
        <v>182</v>
      </c>
      <c r="B398" s="33" t="s">
        <v>183</v>
      </c>
      <c r="C398" s="33" t="s">
        <v>27</v>
      </c>
      <c r="D398" s="33" t="s">
        <v>116</v>
      </c>
      <c r="E398" s="33" t="s">
        <v>67</v>
      </c>
      <c r="F398" s="33"/>
      <c r="G398" s="31"/>
      <c r="H398" s="31"/>
      <c r="I398" s="31"/>
      <c r="J398" s="31"/>
      <c r="K398" s="31"/>
      <c r="L398" s="31"/>
      <c r="M398" s="31"/>
      <c r="N398" s="31"/>
      <c r="O398" s="31"/>
      <c r="P398" s="31"/>
      <c r="Q398" s="31"/>
      <c r="R398" s="31"/>
      <c r="S398" s="31"/>
      <c r="T398" s="31"/>
      <c r="U398" s="31"/>
      <c r="V398" s="31"/>
      <c r="W398" s="31"/>
      <c r="X398" s="31"/>
      <c r="Y398" s="31"/>
      <c r="Z398" s="31"/>
    </row>
    <row r="399" ht="13.5" customHeight="1">
      <c r="A399" s="34" t="s">
        <v>30</v>
      </c>
      <c r="B399" s="35" t="s">
        <v>31</v>
      </c>
      <c r="C399" s="36">
        <v>45139.0</v>
      </c>
      <c r="D399" s="34" t="s">
        <v>32</v>
      </c>
      <c r="E399" s="35" t="s">
        <v>33</v>
      </c>
      <c r="F399" s="37"/>
      <c r="G399" s="31"/>
      <c r="H399" s="31"/>
      <c r="I399" s="31"/>
      <c r="J399" s="31"/>
      <c r="K399" s="31"/>
      <c r="L399" s="31"/>
      <c r="M399" s="31"/>
      <c r="N399" s="31"/>
      <c r="O399" s="31"/>
      <c r="P399" s="31"/>
      <c r="Q399" s="31"/>
      <c r="R399" s="31"/>
      <c r="S399" s="31"/>
      <c r="T399" s="31"/>
      <c r="U399" s="31"/>
      <c r="V399" s="31"/>
      <c r="W399" s="31"/>
      <c r="X399" s="31"/>
      <c r="Y399" s="31"/>
      <c r="Z399" s="31"/>
    </row>
    <row r="400" ht="13.5" customHeight="1">
      <c r="A400" s="38"/>
      <c r="B400" s="35" t="s">
        <v>34</v>
      </c>
      <c r="C400" s="33">
        <f>IF(C399="","",IF(AND(MONTH(C399)&gt;=1,MONTH(C399)&lt;=3),1,IF(AND(MONTH(C399)&gt;=4,MONTH(C399)&lt;=6),2,IF(AND(MONTH(C399)&gt;=7,MONTH(C399)&lt;=9),3,4))))</f>
        <v>3</v>
      </c>
      <c r="D400" s="38"/>
      <c r="E400" s="35" t="s">
        <v>35</v>
      </c>
      <c r="F400" s="37"/>
      <c r="G400" s="31"/>
      <c r="H400" s="31"/>
      <c r="I400" s="31"/>
      <c r="J400" s="31"/>
      <c r="K400" s="31"/>
      <c r="L400" s="31"/>
      <c r="M400" s="31"/>
      <c r="N400" s="31"/>
      <c r="O400" s="31"/>
      <c r="P400" s="31"/>
      <c r="Q400" s="31"/>
      <c r="R400" s="31"/>
      <c r="S400" s="31"/>
      <c r="T400" s="31"/>
      <c r="U400" s="31"/>
      <c r="V400" s="31"/>
      <c r="W400" s="31"/>
      <c r="X400" s="31"/>
      <c r="Y400" s="31"/>
      <c r="Z400" s="31"/>
    </row>
    <row r="401" ht="13.5" customHeight="1">
      <c r="A401" s="38"/>
      <c r="B401" s="35" t="s">
        <v>36</v>
      </c>
      <c r="C401" s="36">
        <v>45155.0</v>
      </c>
      <c r="D401" s="38"/>
      <c r="E401" s="35" t="s">
        <v>37</v>
      </c>
      <c r="F401" s="37"/>
      <c r="G401" s="31"/>
      <c r="H401" s="31"/>
      <c r="I401" s="31"/>
      <c r="J401" s="31"/>
      <c r="K401" s="31"/>
      <c r="L401" s="31"/>
      <c r="M401" s="31"/>
      <c r="N401" s="31"/>
      <c r="O401" s="31"/>
      <c r="P401" s="31"/>
      <c r="Q401" s="31"/>
      <c r="R401" s="31"/>
      <c r="S401" s="31"/>
      <c r="T401" s="31"/>
      <c r="U401" s="31"/>
      <c r="V401" s="31"/>
      <c r="W401" s="31"/>
      <c r="X401" s="31"/>
      <c r="Y401" s="31"/>
      <c r="Z401" s="31"/>
    </row>
    <row r="402" ht="13.5" customHeight="1">
      <c r="A402" s="39"/>
      <c r="B402" s="35" t="s">
        <v>34</v>
      </c>
      <c r="C402" s="33">
        <f>IF(C401="","",IF(AND(MONTH(C401)&gt;=1,MONTH(C401)&lt;=3),1,IF(AND(MONTH(C401)&gt;=4,MONTH(C401)&lt;=6),2,IF(AND(MONTH(C401)&gt;=7,MONTH(C401)&lt;=9),3,4))))</f>
        <v>3</v>
      </c>
      <c r="D402" s="39"/>
      <c r="E402" s="35" t="s">
        <v>38</v>
      </c>
      <c r="F402" s="37"/>
      <c r="G402" s="31"/>
      <c r="H402" s="31"/>
      <c r="I402" s="31"/>
      <c r="J402" s="31"/>
      <c r="K402" s="31"/>
      <c r="L402" s="31"/>
      <c r="M402" s="31"/>
      <c r="N402" s="31"/>
      <c r="O402" s="31"/>
      <c r="P402" s="31"/>
      <c r="Q402" s="31"/>
      <c r="R402" s="31"/>
      <c r="S402" s="31"/>
      <c r="T402" s="31"/>
      <c r="U402" s="31"/>
      <c r="V402" s="31"/>
      <c r="W402" s="31"/>
      <c r="X402" s="31"/>
      <c r="Y402" s="31"/>
      <c r="Z402" s="31"/>
    </row>
    <row r="403" ht="13.5" customHeight="1">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row>
    <row r="404" ht="13.5" customHeight="1">
      <c r="A404" s="40" t="s">
        <v>39</v>
      </c>
      <c r="B404" s="40" t="s">
        <v>40</v>
      </c>
      <c r="C404" s="40" t="s">
        <v>41</v>
      </c>
      <c r="D404" s="40" t="s">
        <v>42</v>
      </c>
      <c r="E404" s="40" t="s">
        <v>43</v>
      </c>
      <c r="F404" s="40" t="s">
        <v>44</v>
      </c>
      <c r="G404" s="31"/>
      <c r="H404" s="31"/>
      <c r="I404" s="31"/>
      <c r="J404" s="31"/>
      <c r="K404" s="31"/>
      <c r="L404" s="31"/>
      <c r="M404" s="31"/>
      <c r="N404" s="31"/>
      <c r="O404" s="31"/>
      <c r="P404" s="31"/>
      <c r="Q404" s="31"/>
      <c r="R404" s="31"/>
      <c r="S404" s="31"/>
      <c r="T404" s="31"/>
      <c r="U404" s="31"/>
      <c r="V404" s="31"/>
      <c r="W404" s="31"/>
      <c r="X404" s="31"/>
      <c r="Y404" s="31"/>
      <c r="Z404" s="31"/>
    </row>
    <row r="405" ht="13.5" customHeight="1">
      <c r="A405" s="41" t="s">
        <v>184</v>
      </c>
      <c r="B405" s="41" t="str">
        <f t="array" ref="B405">IFERROR(INDEX(#REF!,MATCH(INDIRECT(ADDRESS(ROW(),COLUMN()-1,4)),#REF!,0)),IF(INDIRECT(ADDRESS(ROW(),COLUMN()-1,4))="39121004","Unidades de suministro de energía",""))</f>
        <v>Unidades de suministro de energía</v>
      </c>
      <c r="C405" s="42" t="str">
        <f>IFERROR(VLOOKUP("UD",'Informacion '!P:Q,2,FALSE),"")</f>
        <v/>
      </c>
      <c r="D405" s="41">
        <v>4.0</v>
      </c>
      <c r="E405" s="43">
        <v>125000.0</v>
      </c>
      <c r="F405" s="43">
        <f>INDIRECT(ADDRESS(ROW(),COLUMN()-2,4))*INDIRECT(ADDRESS(ROW(),COLUMN()-1,4))</f>
        <v>500000</v>
      </c>
      <c r="G405" s="31"/>
      <c r="H405" s="31"/>
      <c r="I405" s="31"/>
      <c r="J405" s="31"/>
      <c r="K405" s="31"/>
      <c r="L405" s="31"/>
      <c r="M405" s="31"/>
      <c r="N405" s="31"/>
      <c r="O405" s="31"/>
      <c r="P405" s="31"/>
      <c r="Q405" s="31"/>
      <c r="R405" s="31"/>
      <c r="S405" s="31"/>
      <c r="T405" s="31"/>
      <c r="U405" s="31"/>
      <c r="V405" s="31"/>
      <c r="W405" s="31"/>
      <c r="X405" s="31"/>
      <c r="Y405" s="31"/>
      <c r="Z405" s="31"/>
    </row>
    <row r="406" ht="13.5" customHeight="1">
      <c r="A406" s="31"/>
      <c r="B406" s="31"/>
      <c r="C406" s="31"/>
      <c r="D406" s="31"/>
      <c r="E406" s="44" t="s">
        <v>63</v>
      </c>
      <c r="F406" s="45">
        <f>SUM(PACC!$F$405)</f>
        <v>500000</v>
      </c>
      <c r="G406" s="31"/>
      <c r="H406" s="31" t="str">
        <f>C398</f>
        <v>Bienes</v>
      </c>
      <c r="I406" s="31" t="str">
        <f>E398</f>
        <v>No</v>
      </c>
      <c r="J406" s="31" t="str">
        <f>D398</f>
        <v>Compras Menores</v>
      </c>
      <c r="K406" s="31"/>
      <c r="L406" s="31"/>
      <c r="M406" s="31"/>
      <c r="N406" s="31"/>
      <c r="O406" s="31"/>
      <c r="P406" s="31"/>
      <c r="Q406" s="31"/>
      <c r="R406" s="31"/>
      <c r="S406" s="31"/>
      <c r="T406" s="31"/>
      <c r="U406" s="31"/>
      <c r="V406" s="31"/>
      <c r="W406" s="31"/>
      <c r="X406" s="31"/>
      <c r="Y406" s="31"/>
      <c r="Z406" s="31"/>
    </row>
    <row r="407" ht="13.5" customHeight="1">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row>
    <row r="408" ht="33.75" customHeight="1">
      <c r="A408" s="32" t="s">
        <v>19</v>
      </c>
      <c r="B408" s="32" t="s">
        <v>20</v>
      </c>
      <c r="C408" s="32" t="s">
        <v>21</v>
      </c>
      <c r="D408" s="32" t="s">
        <v>22</v>
      </c>
      <c r="E408" s="32" t="s">
        <v>23</v>
      </c>
      <c r="F408" s="32" t="s">
        <v>24</v>
      </c>
      <c r="G408" s="31"/>
      <c r="H408" s="31"/>
      <c r="I408" s="31"/>
      <c r="J408" s="31"/>
      <c r="K408" s="31"/>
      <c r="L408" s="31"/>
      <c r="M408" s="31"/>
      <c r="N408" s="31"/>
      <c r="O408" s="31"/>
      <c r="P408" s="31"/>
      <c r="Q408" s="31"/>
      <c r="R408" s="31"/>
      <c r="S408" s="31"/>
      <c r="T408" s="31"/>
      <c r="U408" s="31"/>
      <c r="V408" s="31"/>
      <c r="W408" s="31"/>
      <c r="X408" s="31"/>
      <c r="Y408" s="31"/>
      <c r="Z408" s="31"/>
    </row>
    <row r="409" ht="13.5" customHeight="1">
      <c r="A409" s="33" t="s">
        <v>185</v>
      </c>
      <c r="B409" s="33" t="s">
        <v>186</v>
      </c>
      <c r="C409" s="33" t="s">
        <v>95</v>
      </c>
      <c r="D409" s="33" t="s">
        <v>116</v>
      </c>
      <c r="E409" s="33" t="s">
        <v>67</v>
      </c>
      <c r="F409" s="33"/>
      <c r="G409" s="31"/>
      <c r="H409" s="31"/>
      <c r="I409" s="31"/>
      <c r="J409" s="31"/>
      <c r="K409" s="31"/>
      <c r="L409" s="31"/>
      <c r="M409" s="31"/>
      <c r="N409" s="31"/>
      <c r="O409" s="31"/>
      <c r="P409" s="31"/>
      <c r="Q409" s="31"/>
      <c r="R409" s="31"/>
      <c r="S409" s="31"/>
      <c r="T409" s="31"/>
      <c r="U409" s="31"/>
      <c r="V409" s="31"/>
      <c r="W409" s="31"/>
      <c r="X409" s="31"/>
      <c r="Y409" s="31"/>
      <c r="Z409" s="31"/>
    </row>
    <row r="410" ht="13.5" customHeight="1">
      <c r="A410" s="34" t="s">
        <v>30</v>
      </c>
      <c r="B410" s="35" t="s">
        <v>31</v>
      </c>
      <c r="C410" s="36">
        <v>44963.0</v>
      </c>
      <c r="D410" s="34" t="s">
        <v>32</v>
      </c>
      <c r="E410" s="35" t="s">
        <v>33</v>
      </c>
      <c r="F410" s="37"/>
      <c r="G410" s="31"/>
      <c r="H410" s="31"/>
      <c r="I410" s="31"/>
      <c r="J410" s="31"/>
      <c r="K410" s="31"/>
      <c r="L410" s="31"/>
      <c r="M410" s="31"/>
      <c r="N410" s="31"/>
      <c r="O410" s="31"/>
      <c r="P410" s="31"/>
      <c r="Q410" s="31"/>
      <c r="R410" s="31"/>
      <c r="S410" s="31"/>
      <c r="T410" s="31"/>
      <c r="U410" s="31"/>
      <c r="V410" s="31"/>
      <c r="W410" s="31"/>
      <c r="X410" s="31"/>
      <c r="Y410" s="31"/>
      <c r="Z410" s="31"/>
    </row>
    <row r="411" ht="13.5" customHeight="1">
      <c r="A411" s="38"/>
      <c r="B411" s="35" t="s">
        <v>34</v>
      </c>
      <c r="C411" s="33">
        <f>IF(C410="","",IF(AND(MONTH(C410)&gt;=1,MONTH(C410)&lt;=3),1,IF(AND(MONTH(C410)&gt;=4,MONTH(C410)&lt;=6),2,IF(AND(MONTH(C410)&gt;=7,MONTH(C410)&lt;=9),3,4))))</f>
        <v>1</v>
      </c>
      <c r="D411" s="38"/>
      <c r="E411" s="35" t="s">
        <v>35</v>
      </c>
      <c r="F411" s="37"/>
      <c r="G411" s="31"/>
      <c r="H411" s="31"/>
      <c r="I411" s="31"/>
      <c r="J411" s="31"/>
      <c r="K411" s="31"/>
      <c r="L411" s="31"/>
      <c r="M411" s="31"/>
      <c r="N411" s="31"/>
      <c r="O411" s="31"/>
      <c r="P411" s="31"/>
      <c r="Q411" s="31"/>
      <c r="R411" s="31"/>
      <c r="S411" s="31"/>
      <c r="T411" s="31"/>
      <c r="U411" s="31"/>
      <c r="V411" s="31"/>
      <c r="W411" s="31"/>
      <c r="X411" s="31"/>
      <c r="Y411" s="31"/>
      <c r="Z411" s="31"/>
    </row>
    <row r="412" ht="13.5" customHeight="1">
      <c r="A412" s="38"/>
      <c r="B412" s="35" t="s">
        <v>36</v>
      </c>
      <c r="C412" s="36">
        <v>44978.0</v>
      </c>
      <c r="D412" s="38"/>
      <c r="E412" s="35" t="s">
        <v>37</v>
      </c>
      <c r="F412" s="37"/>
      <c r="G412" s="31"/>
      <c r="H412" s="31"/>
      <c r="I412" s="31"/>
      <c r="J412" s="31"/>
      <c r="K412" s="31"/>
      <c r="L412" s="31"/>
      <c r="M412" s="31"/>
      <c r="N412" s="31"/>
      <c r="O412" s="31"/>
      <c r="P412" s="31"/>
      <c r="Q412" s="31"/>
      <c r="R412" s="31"/>
      <c r="S412" s="31"/>
      <c r="T412" s="31"/>
      <c r="U412" s="31"/>
      <c r="V412" s="31"/>
      <c r="W412" s="31"/>
      <c r="X412" s="31"/>
      <c r="Y412" s="31"/>
      <c r="Z412" s="31"/>
    </row>
    <row r="413" ht="13.5" customHeight="1">
      <c r="A413" s="39"/>
      <c r="B413" s="35" t="s">
        <v>34</v>
      </c>
      <c r="C413" s="33">
        <f>IF(C412="","",IF(AND(MONTH(C412)&gt;=1,MONTH(C412)&lt;=3),1,IF(AND(MONTH(C412)&gt;=4,MONTH(C412)&lt;=6),2,IF(AND(MONTH(C412)&gt;=7,MONTH(C412)&lt;=9),3,4))))</f>
        <v>1</v>
      </c>
      <c r="D413" s="39"/>
      <c r="E413" s="35" t="s">
        <v>38</v>
      </c>
      <c r="F413" s="37"/>
      <c r="G413" s="31"/>
      <c r="H413" s="31"/>
      <c r="I413" s="31"/>
      <c r="J413" s="31"/>
      <c r="K413" s="31"/>
      <c r="L413" s="31"/>
      <c r="M413" s="31"/>
      <c r="N413" s="31"/>
      <c r="O413" s="31"/>
      <c r="P413" s="31"/>
      <c r="Q413" s="31"/>
      <c r="R413" s="31"/>
      <c r="S413" s="31"/>
      <c r="T413" s="31"/>
      <c r="U413" s="31"/>
      <c r="V413" s="31"/>
      <c r="W413" s="31"/>
      <c r="X413" s="31"/>
      <c r="Y413" s="31"/>
      <c r="Z413" s="31"/>
    </row>
    <row r="414" ht="13.5" customHeight="1">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row>
    <row r="415" ht="13.5" customHeight="1">
      <c r="A415" s="40" t="s">
        <v>39</v>
      </c>
      <c r="B415" s="40" t="s">
        <v>40</v>
      </c>
      <c r="C415" s="40" t="s">
        <v>41</v>
      </c>
      <c r="D415" s="40" t="s">
        <v>42</v>
      </c>
      <c r="E415" s="40" t="s">
        <v>43</v>
      </c>
      <c r="F415" s="40" t="s">
        <v>44</v>
      </c>
      <c r="G415" s="31"/>
      <c r="H415" s="31"/>
      <c r="I415" s="31"/>
      <c r="J415" s="31"/>
      <c r="K415" s="31"/>
      <c r="L415" s="31"/>
      <c r="M415" s="31"/>
      <c r="N415" s="31"/>
      <c r="O415" s="31"/>
      <c r="P415" s="31"/>
      <c r="Q415" s="31"/>
      <c r="R415" s="31"/>
      <c r="S415" s="31"/>
      <c r="T415" s="31"/>
      <c r="U415" s="31"/>
      <c r="V415" s="31"/>
      <c r="W415" s="31"/>
      <c r="X415" s="31"/>
      <c r="Y415" s="31"/>
      <c r="Z415" s="31"/>
    </row>
    <row r="416" ht="13.5" customHeight="1">
      <c r="A416" s="41" t="s">
        <v>187</v>
      </c>
      <c r="B416" s="41" t="str">
        <f t="array" ref="B416">IFERROR(INDEX(#REF!,MATCH(INDIRECT(ADDRESS(ROW(),COLUMN()-1,4)),#REF!,0)),IF(INDIRECT(ADDRESS(ROW(),COLUMN()-1,4))="44101501","Fotocopiadoras",""))</f>
        <v>Fotocopiadoras</v>
      </c>
      <c r="C416" s="42" t="str">
        <f>IFERROR(VLOOKUP("UD",'Informacion '!P:Q,2,FALSE),"")</f>
        <v/>
      </c>
      <c r="D416" s="41">
        <v>1.0</v>
      </c>
      <c r="E416" s="43">
        <v>400000.0</v>
      </c>
      <c r="F416" s="43">
        <f>INDIRECT(ADDRESS(ROW(),COLUMN()-2,4))*INDIRECT(ADDRESS(ROW(),COLUMN()-1,4))</f>
        <v>400000</v>
      </c>
      <c r="G416" s="31"/>
      <c r="H416" s="31"/>
      <c r="I416" s="31"/>
      <c r="J416" s="31"/>
      <c r="K416" s="31"/>
      <c r="L416" s="31"/>
      <c r="M416" s="31"/>
      <c r="N416" s="31"/>
      <c r="O416" s="31"/>
      <c r="P416" s="31"/>
      <c r="Q416" s="31"/>
      <c r="R416" s="31"/>
      <c r="S416" s="31"/>
      <c r="T416" s="31"/>
      <c r="U416" s="31"/>
      <c r="V416" s="31"/>
      <c r="W416" s="31"/>
      <c r="X416" s="31"/>
      <c r="Y416" s="31"/>
      <c r="Z416" s="31"/>
    </row>
    <row r="417" ht="13.5" customHeight="1">
      <c r="A417" s="31"/>
      <c r="B417" s="31"/>
      <c r="C417" s="31"/>
      <c r="D417" s="31"/>
      <c r="E417" s="44" t="s">
        <v>63</v>
      </c>
      <c r="F417" s="45">
        <f>SUM(PACC!$F$416)</f>
        <v>400000</v>
      </c>
      <c r="G417" s="31"/>
      <c r="H417" s="31" t="str">
        <f>C409</f>
        <v>Servicios</v>
      </c>
      <c r="I417" s="31" t="str">
        <f>E409</f>
        <v>No</v>
      </c>
      <c r="J417" s="31" t="str">
        <f>D409</f>
        <v>Compras Menores</v>
      </c>
      <c r="K417" s="31"/>
      <c r="L417" s="31"/>
      <c r="M417" s="31"/>
      <c r="N417" s="31"/>
      <c r="O417" s="31"/>
      <c r="P417" s="31"/>
      <c r="Q417" s="31"/>
      <c r="R417" s="31"/>
      <c r="S417" s="31"/>
      <c r="T417" s="31"/>
      <c r="U417" s="31"/>
      <c r="V417" s="31"/>
      <c r="W417" s="31"/>
      <c r="X417" s="31"/>
      <c r="Y417" s="31"/>
      <c r="Z417" s="31"/>
    </row>
    <row r="418" ht="13.5" customHeight="1">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row>
    <row r="419" ht="33.75" customHeight="1">
      <c r="A419" s="32" t="s">
        <v>19</v>
      </c>
      <c r="B419" s="32" t="s">
        <v>20</v>
      </c>
      <c r="C419" s="32" t="s">
        <v>21</v>
      </c>
      <c r="D419" s="32" t="s">
        <v>22</v>
      </c>
      <c r="E419" s="32" t="s">
        <v>23</v>
      </c>
      <c r="F419" s="32" t="s">
        <v>24</v>
      </c>
      <c r="G419" s="31"/>
      <c r="H419" s="31"/>
      <c r="I419" s="31"/>
      <c r="J419" s="31"/>
      <c r="K419" s="31"/>
      <c r="L419" s="31"/>
      <c r="M419" s="31"/>
      <c r="N419" s="31"/>
      <c r="O419" s="31"/>
      <c r="P419" s="31"/>
      <c r="Q419" s="31"/>
      <c r="R419" s="31"/>
      <c r="S419" s="31"/>
      <c r="T419" s="31"/>
      <c r="U419" s="31"/>
      <c r="V419" s="31"/>
      <c r="W419" s="31"/>
      <c r="X419" s="31"/>
      <c r="Y419" s="31"/>
      <c r="Z419" s="31"/>
    </row>
    <row r="420" ht="13.5" customHeight="1">
      <c r="A420" s="33" t="s">
        <v>188</v>
      </c>
      <c r="B420" s="33" t="s">
        <v>189</v>
      </c>
      <c r="C420" s="33" t="s">
        <v>27</v>
      </c>
      <c r="D420" s="33" t="s">
        <v>116</v>
      </c>
      <c r="E420" s="33" t="s">
        <v>67</v>
      </c>
      <c r="F420" s="33"/>
      <c r="G420" s="31"/>
      <c r="H420" s="31"/>
      <c r="I420" s="31"/>
      <c r="J420" s="31"/>
      <c r="K420" s="31"/>
      <c r="L420" s="31"/>
      <c r="M420" s="31"/>
      <c r="N420" s="31"/>
      <c r="O420" s="31"/>
      <c r="P420" s="31"/>
      <c r="Q420" s="31"/>
      <c r="R420" s="31"/>
      <c r="S420" s="31"/>
      <c r="T420" s="31"/>
      <c r="U420" s="31"/>
      <c r="V420" s="31"/>
      <c r="W420" s="31"/>
      <c r="X420" s="31"/>
      <c r="Y420" s="31"/>
      <c r="Z420" s="31"/>
    </row>
    <row r="421" ht="13.5" customHeight="1">
      <c r="A421" s="34" t="s">
        <v>30</v>
      </c>
      <c r="B421" s="35" t="s">
        <v>31</v>
      </c>
      <c r="C421" s="36">
        <v>45026.0</v>
      </c>
      <c r="D421" s="34" t="s">
        <v>32</v>
      </c>
      <c r="E421" s="35" t="s">
        <v>33</v>
      </c>
      <c r="F421" s="37"/>
      <c r="G421" s="31"/>
      <c r="H421" s="31"/>
      <c r="I421" s="31"/>
      <c r="J421" s="31"/>
      <c r="K421" s="31"/>
      <c r="L421" s="31"/>
      <c r="M421" s="31"/>
      <c r="N421" s="31"/>
      <c r="O421" s="31"/>
      <c r="P421" s="31"/>
      <c r="Q421" s="31"/>
      <c r="R421" s="31"/>
      <c r="S421" s="31"/>
      <c r="T421" s="31"/>
      <c r="U421" s="31"/>
      <c r="V421" s="31"/>
      <c r="W421" s="31"/>
      <c r="X421" s="31"/>
      <c r="Y421" s="31"/>
      <c r="Z421" s="31"/>
    </row>
    <row r="422" ht="13.5" customHeight="1">
      <c r="A422" s="38"/>
      <c r="B422" s="35" t="s">
        <v>34</v>
      </c>
      <c r="C422" s="33">
        <f>IF(C421="","",IF(AND(MONTH(C421)&gt;=1,MONTH(C421)&lt;=3),1,IF(AND(MONTH(C421)&gt;=4,MONTH(C421)&lt;=6),2,IF(AND(MONTH(C421)&gt;=7,MONTH(C421)&lt;=9),3,4))))</f>
        <v>2</v>
      </c>
      <c r="D422" s="38"/>
      <c r="E422" s="35" t="s">
        <v>35</v>
      </c>
      <c r="F422" s="37"/>
      <c r="G422" s="31"/>
      <c r="H422" s="31"/>
      <c r="I422" s="31"/>
      <c r="J422" s="31"/>
      <c r="K422" s="31"/>
      <c r="L422" s="31"/>
      <c r="M422" s="31"/>
      <c r="N422" s="31"/>
      <c r="O422" s="31"/>
      <c r="P422" s="31"/>
      <c r="Q422" s="31"/>
      <c r="R422" s="31"/>
      <c r="S422" s="31"/>
      <c r="T422" s="31"/>
      <c r="U422" s="31"/>
      <c r="V422" s="31"/>
      <c r="W422" s="31"/>
      <c r="X422" s="31"/>
      <c r="Y422" s="31"/>
      <c r="Z422" s="31"/>
    </row>
    <row r="423" ht="13.5" customHeight="1">
      <c r="A423" s="38"/>
      <c r="B423" s="35" t="s">
        <v>36</v>
      </c>
      <c r="C423" s="36">
        <v>45044.0</v>
      </c>
      <c r="D423" s="38"/>
      <c r="E423" s="35" t="s">
        <v>37</v>
      </c>
      <c r="F423" s="37"/>
      <c r="G423" s="31"/>
      <c r="H423" s="31"/>
      <c r="I423" s="31"/>
      <c r="J423" s="31"/>
      <c r="K423" s="31"/>
      <c r="L423" s="31"/>
      <c r="M423" s="31"/>
      <c r="N423" s="31"/>
      <c r="O423" s="31"/>
      <c r="P423" s="31"/>
      <c r="Q423" s="31"/>
      <c r="R423" s="31"/>
      <c r="S423" s="31"/>
      <c r="T423" s="31"/>
      <c r="U423" s="31"/>
      <c r="V423" s="31"/>
      <c r="W423" s="31"/>
      <c r="X423" s="31"/>
      <c r="Y423" s="31"/>
      <c r="Z423" s="31"/>
    </row>
    <row r="424" ht="13.5" customHeight="1">
      <c r="A424" s="39"/>
      <c r="B424" s="35" t="s">
        <v>34</v>
      </c>
      <c r="C424" s="33">
        <f>IF(C423="","",IF(AND(MONTH(C423)&gt;=1,MONTH(C423)&lt;=3),1,IF(AND(MONTH(C423)&gt;=4,MONTH(C423)&lt;=6),2,IF(AND(MONTH(C423)&gt;=7,MONTH(C423)&lt;=9),3,4))))</f>
        <v>2</v>
      </c>
      <c r="D424" s="39"/>
      <c r="E424" s="35" t="s">
        <v>38</v>
      </c>
      <c r="F424" s="37"/>
      <c r="G424" s="31"/>
      <c r="H424" s="31"/>
      <c r="I424" s="31"/>
      <c r="J424" s="31"/>
      <c r="K424" s="31"/>
      <c r="L424" s="31"/>
      <c r="M424" s="31"/>
      <c r="N424" s="31"/>
      <c r="O424" s="31"/>
      <c r="P424" s="31"/>
      <c r="Q424" s="31"/>
      <c r="R424" s="31"/>
      <c r="S424" s="31"/>
      <c r="T424" s="31"/>
      <c r="U424" s="31"/>
      <c r="V424" s="31"/>
      <c r="W424" s="31"/>
      <c r="X424" s="31"/>
      <c r="Y424" s="31"/>
      <c r="Z424" s="31"/>
    </row>
    <row r="425" ht="13.5" customHeight="1">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row>
    <row r="426" ht="13.5" customHeight="1">
      <c r="A426" s="40" t="s">
        <v>39</v>
      </c>
      <c r="B426" s="40" t="s">
        <v>40</v>
      </c>
      <c r="C426" s="40" t="s">
        <v>41</v>
      </c>
      <c r="D426" s="40" t="s">
        <v>42</v>
      </c>
      <c r="E426" s="40" t="s">
        <v>43</v>
      </c>
      <c r="F426" s="40" t="s">
        <v>44</v>
      </c>
      <c r="G426" s="31"/>
      <c r="H426" s="31"/>
      <c r="I426" s="31"/>
      <c r="J426" s="31"/>
      <c r="K426" s="31"/>
      <c r="L426" s="31"/>
      <c r="M426" s="31"/>
      <c r="N426" s="31"/>
      <c r="O426" s="31"/>
      <c r="P426" s="31"/>
      <c r="Q426" s="31"/>
      <c r="R426" s="31"/>
      <c r="S426" s="31"/>
      <c r="T426" s="31"/>
      <c r="U426" s="31"/>
      <c r="V426" s="31"/>
      <c r="W426" s="31"/>
      <c r="X426" s="31"/>
      <c r="Y426" s="31"/>
      <c r="Z426" s="31"/>
    </row>
    <row r="427" ht="13.5" customHeight="1">
      <c r="A427" s="41" t="s">
        <v>190</v>
      </c>
      <c r="B427" s="41" t="str">
        <f t="array" ref="B427">IFERROR(INDEX(#REF!,MATCH(INDIRECT(ADDRESS(ROW(),COLUMN()-1,4)),#REF!,0)),IF(INDIRECT(ADDRESS(ROW(),COLUMN()-1,4))="52141526","Cafeteras para uso doméstico",""))</f>
        <v>Cafeteras para uso doméstico</v>
      </c>
      <c r="C427" s="42" t="str">
        <f t="shared" ref="C427:C429" si="55">IFERROR(VLOOKUP("UD",'Informacion '!P:Q,2,FALSE),"")</f>
        <v/>
      </c>
      <c r="D427" s="41">
        <v>4.0</v>
      </c>
      <c r="E427" s="43">
        <v>2500.0</v>
      </c>
      <c r="F427" s="43">
        <f t="shared" ref="F427:F429" si="56">INDIRECT(ADDRESS(ROW(),COLUMN()-2,4))*INDIRECT(ADDRESS(ROW(),COLUMN()-1,4))</f>
        <v>10000</v>
      </c>
      <c r="G427" s="31"/>
      <c r="H427" s="31"/>
      <c r="I427" s="31"/>
      <c r="J427" s="31"/>
      <c r="K427" s="31"/>
      <c r="L427" s="31"/>
      <c r="M427" s="31"/>
      <c r="N427" s="31"/>
      <c r="O427" s="31"/>
      <c r="P427" s="31"/>
      <c r="Q427" s="31"/>
      <c r="R427" s="31"/>
      <c r="S427" s="31"/>
      <c r="T427" s="31"/>
      <c r="U427" s="31"/>
      <c r="V427" s="31"/>
      <c r="W427" s="31"/>
      <c r="X427" s="31"/>
      <c r="Y427" s="31"/>
      <c r="Z427" s="31"/>
    </row>
    <row r="428" ht="13.5" customHeight="1">
      <c r="A428" s="41" t="s">
        <v>191</v>
      </c>
      <c r="B428" s="41" t="str">
        <f t="array" ref="B428">IFERROR(INDEX(#REF!,MATCH(INDIRECT(ADDRESS(ROW(),COLUMN()-1,4)),#REF!,0)),IF(INDIRECT(ADDRESS(ROW(),COLUMN()-1,4))="48101714","Dispensadores de agua caliente",""))</f>
        <v>Dispensadores de agua caliente</v>
      </c>
      <c r="C428" s="42" t="str">
        <f t="shared" si="55"/>
        <v/>
      </c>
      <c r="D428" s="41">
        <v>5.0</v>
      </c>
      <c r="E428" s="43">
        <v>18000.0</v>
      </c>
      <c r="F428" s="43">
        <f t="shared" si="56"/>
        <v>90000</v>
      </c>
      <c r="G428" s="31"/>
      <c r="H428" s="31"/>
      <c r="I428" s="31"/>
      <c r="J428" s="31"/>
      <c r="K428" s="31"/>
      <c r="L428" s="31"/>
      <c r="M428" s="31"/>
      <c r="N428" s="31"/>
      <c r="O428" s="31"/>
      <c r="P428" s="31"/>
      <c r="Q428" s="31"/>
      <c r="R428" s="31"/>
      <c r="S428" s="31"/>
      <c r="T428" s="31"/>
      <c r="U428" s="31"/>
      <c r="V428" s="31"/>
      <c r="W428" s="31"/>
      <c r="X428" s="31"/>
      <c r="Y428" s="31"/>
      <c r="Z428" s="31"/>
    </row>
    <row r="429" ht="13.5" customHeight="1">
      <c r="A429" s="41" t="s">
        <v>192</v>
      </c>
      <c r="B429" s="41" t="str">
        <f t="array" ref="B429">IFERROR(INDEX(#REF!,MATCH(INDIRECT(ADDRESS(ROW(),COLUMN()-1,4)),#REF!,0)),IF(INDIRECT(ADDRESS(ROW(),COLUMN()-1,4))="52161505","Televisores",""))</f>
        <v>Televisores</v>
      </c>
      <c r="C429" s="42" t="str">
        <f t="shared" si="55"/>
        <v/>
      </c>
      <c r="D429" s="41">
        <v>4.0</v>
      </c>
      <c r="E429" s="43">
        <v>75000.0</v>
      </c>
      <c r="F429" s="43">
        <f t="shared" si="56"/>
        <v>300000</v>
      </c>
      <c r="G429" s="31"/>
      <c r="H429" s="31"/>
      <c r="I429" s="31"/>
      <c r="J429" s="31"/>
      <c r="K429" s="31"/>
      <c r="L429" s="31"/>
      <c r="M429" s="31"/>
      <c r="N429" s="31"/>
      <c r="O429" s="31"/>
      <c r="P429" s="31"/>
      <c r="Q429" s="31"/>
      <c r="R429" s="31"/>
      <c r="S429" s="31"/>
      <c r="T429" s="31"/>
      <c r="U429" s="31"/>
      <c r="V429" s="31"/>
      <c r="W429" s="31"/>
      <c r="X429" s="31"/>
      <c r="Y429" s="31"/>
      <c r="Z429" s="31"/>
    </row>
    <row r="430" ht="13.5" customHeight="1">
      <c r="A430" s="31"/>
      <c r="B430" s="31"/>
      <c r="C430" s="31"/>
      <c r="D430" s="31"/>
      <c r="E430" s="44" t="s">
        <v>63</v>
      </c>
      <c r="F430" s="45">
        <f>SUM(PACC!$F$427:$F$429)</f>
        <v>400000</v>
      </c>
      <c r="G430" s="31"/>
      <c r="H430" s="31" t="str">
        <f>C420</f>
        <v>Bienes</v>
      </c>
      <c r="I430" s="31" t="str">
        <f>E420</f>
        <v>No</v>
      </c>
      <c r="J430" s="31" t="str">
        <f>D420</f>
        <v>Compras Menores</v>
      </c>
      <c r="K430" s="31"/>
      <c r="L430" s="31"/>
      <c r="M430" s="31"/>
      <c r="N430" s="31"/>
      <c r="O430" s="31"/>
      <c r="P430" s="31"/>
      <c r="Q430" s="31"/>
      <c r="R430" s="31"/>
      <c r="S430" s="31"/>
      <c r="T430" s="31"/>
      <c r="U430" s="31"/>
      <c r="V430" s="31"/>
      <c r="W430" s="31"/>
      <c r="X430" s="31"/>
      <c r="Y430" s="31"/>
      <c r="Z430" s="31"/>
    </row>
    <row r="431" ht="13.5" customHeight="1">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row>
    <row r="432" ht="33.75" customHeight="1">
      <c r="A432" s="32" t="s">
        <v>19</v>
      </c>
      <c r="B432" s="32" t="s">
        <v>20</v>
      </c>
      <c r="C432" s="32" t="s">
        <v>21</v>
      </c>
      <c r="D432" s="32" t="s">
        <v>22</v>
      </c>
      <c r="E432" s="32" t="s">
        <v>23</v>
      </c>
      <c r="F432" s="32" t="s">
        <v>24</v>
      </c>
      <c r="G432" s="31"/>
      <c r="H432" s="31"/>
      <c r="I432" s="31"/>
      <c r="J432" s="31"/>
      <c r="K432" s="31"/>
      <c r="L432" s="31"/>
      <c r="M432" s="31"/>
      <c r="N432" s="31"/>
      <c r="O432" s="31"/>
      <c r="P432" s="31"/>
      <c r="Q432" s="31"/>
      <c r="R432" s="31"/>
      <c r="S432" s="31"/>
      <c r="T432" s="31"/>
      <c r="U432" s="31"/>
      <c r="V432" s="31"/>
      <c r="W432" s="31"/>
      <c r="X432" s="31"/>
      <c r="Y432" s="31"/>
      <c r="Z432" s="31"/>
    </row>
    <row r="433" ht="13.5" customHeight="1">
      <c r="A433" s="33" t="s">
        <v>193</v>
      </c>
      <c r="B433" s="33" t="s">
        <v>194</v>
      </c>
      <c r="C433" s="33" t="s">
        <v>27</v>
      </c>
      <c r="D433" s="33" t="s">
        <v>116</v>
      </c>
      <c r="E433" s="33" t="s">
        <v>67</v>
      </c>
      <c r="F433" s="33"/>
      <c r="G433" s="31"/>
      <c r="H433" s="31"/>
      <c r="I433" s="31"/>
      <c r="J433" s="31"/>
      <c r="K433" s="31"/>
      <c r="L433" s="31"/>
      <c r="M433" s="31"/>
      <c r="N433" s="31"/>
      <c r="O433" s="31"/>
      <c r="P433" s="31"/>
      <c r="Q433" s="31"/>
      <c r="R433" s="31"/>
      <c r="S433" s="31"/>
      <c r="T433" s="31"/>
      <c r="U433" s="31"/>
      <c r="V433" s="31"/>
      <c r="W433" s="31"/>
      <c r="X433" s="31"/>
      <c r="Y433" s="31"/>
      <c r="Z433" s="31"/>
    </row>
    <row r="434" ht="13.5" customHeight="1">
      <c r="A434" s="34" t="s">
        <v>30</v>
      </c>
      <c r="B434" s="35" t="s">
        <v>31</v>
      </c>
      <c r="C434" s="36">
        <v>44963.0</v>
      </c>
      <c r="D434" s="34" t="s">
        <v>32</v>
      </c>
      <c r="E434" s="35" t="s">
        <v>33</v>
      </c>
      <c r="F434" s="37"/>
      <c r="G434" s="31"/>
      <c r="H434" s="31"/>
      <c r="I434" s="31"/>
      <c r="J434" s="31"/>
      <c r="K434" s="31"/>
      <c r="L434" s="31"/>
      <c r="M434" s="31"/>
      <c r="N434" s="31"/>
      <c r="O434" s="31"/>
      <c r="P434" s="31"/>
      <c r="Q434" s="31"/>
      <c r="R434" s="31"/>
      <c r="S434" s="31"/>
      <c r="T434" s="31"/>
      <c r="U434" s="31"/>
      <c r="V434" s="31"/>
      <c r="W434" s="31"/>
      <c r="X434" s="31"/>
      <c r="Y434" s="31"/>
      <c r="Z434" s="31"/>
    </row>
    <row r="435" ht="13.5" customHeight="1">
      <c r="A435" s="38"/>
      <c r="B435" s="35" t="s">
        <v>34</v>
      </c>
      <c r="C435" s="33">
        <f>IF(C434="","",IF(AND(MONTH(C434)&gt;=1,MONTH(C434)&lt;=3),1,IF(AND(MONTH(C434)&gt;=4,MONTH(C434)&lt;=6),2,IF(AND(MONTH(C434)&gt;=7,MONTH(C434)&lt;=9),3,4))))</f>
        <v>1</v>
      </c>
      <c r="D435" s="38"/>
      <c r="E435" s="35" t="s">
        <v>35</v>
      </c>
      <c r="F435" s="37"/>
      <c r="G435" s="31"/>
      <c r="H435" s="31"/>
      <c r="I435" s="31"/>
      <c r="J435" s="31"/>
      <c r="K435" s="31"/>
      <c r="L435" s="31"/>
      <c r="M435" s="31"/>
      <c r="N435" s="31"/>
      <c r="O435" s="31"/>
      <c r="P435" s="31"/>
      <c r="Q435" s="31"/>
      <c r="R435" s="31"/>
      <c r="S435" s="31"/>
      <c r="T435" s="31"/>
      <c r="U435" s="31"/>
      <c r="V435" s="31"/>
      <c r="W435" s="31"/>
      <c r="X435" s="31"/>
      <c r="Y435" s="31"/>
      <c r="Z435" s="31"/>
    </row>
    <row r="436" ht="13.5" customHeight="1">
      <c r="A436" s="38"/>
      <c r="B436" s="35" t="s">
        <v>36</v>
      </c>
      <c r="C436" s="36">
        <v>44977.0</v>
      </c>
      <c r="D436" s="38"/>
      <c r="E436" s="35" t="s">
        <v>37</v>
      </c>
      <c r="F436" s="37"/>
      <c r="G436" s="31"/>
      <c r="H436" s="31"/>
      <c r="I436" s="31"/>
      <c r="J436" s="31"/>
      <c r="K436" s="31"/>
      <c r="L436" s="31"/>
      <c r="M436" s="31"/>
      <c r="N436" s="31"/>
      <c r="O436" s="31"/>
      <c r="P436" s="31"/>
      <c r="Q436" s="31"/>
      <c r="R436" s="31"/>
      <c r="S436" s="31"/>
      <c r="T436" s="31"/>
      <c r="U436" s="31"/>
      <c r="V436" s="31"/>
      <c r="W436" s="31"/>
      <c r="X436" s="31"/>
      <c r="Y436" s="31"/>
      <c r="Z436" s="31"/>
    </row>
    <row r="437" ht="13.5" customHeight="1">
      <c r="A437" s="39"/>
      <c r="B437" s="35" t="s">
        <v>34</v>
      </c>
      <c r="C437" s="33">
        <f>IF(C436="","",IF(AND(MONTH(C436)&gt;=1,MONTH(C436)&lt;=3),1,IF(AND(MONTH(C436)&gt;=4,MONTH(C436)&lt;=6),2,IF(AND(MONTH(C436)&gt;=7,MONTH(C436)&lt;=9),3,4))))</f>
        <v>1</v>
      </c>
      <c r="D437" s="39"/>
      <c r="E437" s="35" t="s">
        <v>38</v>
      </c>
      <c r="F437" s="37"/>
      <c r="G437" s="31"/>
      <c r="H437" s="31"/>
      <c r="I437" s="31"/>
      <c r="J437" s="31"/>
      <c r="K437" s="31"/>
      <c r="L437" s="31"/>
      <c r="M437" s="31"/>
      <c r="N437" s="31"/>
      <c r="O437" s="31"/>
      <c r="P437" s="31"/>
      <c r="Q437" s="31"/>
      <c r="R437" s="31"/>
      <c r="S437" s="31"/>
      <c r="T437" s="31"/>
      <c r="U437" s="31"/>
      <c r="V437" s="31"/>
      <c r="W437" s="31"/>
      <c r="X437" s="31"/>
      <c r="Y437" s="31"/>
      <c r="Z437" s="31"/>
    </row>
    <row r="438" ht="13.5" customHeight="1">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row>
    <row r="439" ht="13.5" customHeight="1">
      <c r="A439" s="40" t="s">
        <v>39</v>
      </c>
      <c r="B439" s="40" t="s">
        <v>40</v>
      </c>
      <c r="C439" s="40" t="s">
        <v>41</v>
      </c>
      <c r="D439" s="40" t="s">
        <v>42</v>
      </c>
      <c r="E439" s="40" t="s">
        <v>43</v>
      </c>
      <c r="F439" s="40" t="s">
        <v>44</v>
      </c>
      <c r="G439" s="31"/>
      <c r="H439" s="31"/>
      <c r="I439" s="31"/>
      <c r="J439" s="31"/>
      <c r="K439" s="31"/>
      <c r="L439" s="31"/>
      <c r="M439" s="31"/>
      <c r="N439" s="31"/>
      <c r="O439" s="31"/>
      <c r="P439" s="31"/>
      <c r="Q439" s="31"/>
      <c r="R439" s="31"/>
      <c r="S439" s="31"/>
      <c r="T439" s="31"/>
      <c r="U439" s="31"/>
      <c r="V439" s="31"/>
      <c r="W439" s="31"/>
      <c r="X439" s="31"/>
      <c r="Y439" s="31"/>
      <c r="Z439" s="31"/>
    </row>
    <row r="440" ht="13.5" customHeight="1">
      <c r="A440" s="41" t="s">
        <v>195</v>
      </c>
      <c r="B440" s="41" t="str">
        <f t="shared" ref="B440:B441" si="57">IFERROR(INDEX(#REF!,MATCH(INDIRECT(ADDRESS(ROW(),COLUMN()-1,4)),#REF!,0)),IF(INDIRECT(ADDRESS(ROW(),COLUMN()-1,4))="52131501","Cortinas",""))</f>
        <v>Cortinas</v>
      </c>
      <c r="C440" s="42" t="str">
        <f t="shared" ref="C440:C441" si="58">IFERROR(VLOOKUP("UD",'Informacion '!P:Q,2,FALSE),"")</f>
        <v/>
      </c>
      <c r="D440" s="41">
        <v>4.0</v>
      </c>
      <c r="E440" s="43">
        <v>25000.0</v>
      </c>
      <c r="F440" s="43">
        <f t="shared" ref="F440:F441" si="59">INDIRECT(ADDRESS(ROW(),COLUMN()-2,4))*INDIRECT(ADDRESS(ROW(),COLUMN()-1,4))</f>
        <v>100000</v>
      </c>
      <c r="G440" s="31"/>
      <c r="H440" s="31"/>
      <c r="I440" s="31"/>
      <c r="J440" s="31"/>
      <c r="K440" s="31"/>
      <c r="L440" s="31"/>
      <c r="M440" s="31"/>
      <c r="N440" s="31"/>
      <c r="O440" s="31"/>
      <c r="P440" s="31"/>
      <c r="Q440" s="31"/>
      <c r="R440" s="31"/>
      <c r="S440" s="31"/>
      <c r="T440" s="31"/>
      <c r="U440" s="31"/>
      <c r="V440" s="31"/>
      <c r="W440" s="31"/>
      <c r="X440" s="31"/>
      <c r="Y440" s="31"/>
      <c r="Z440" s="31"/>
    </row>
    <row r="441" ht="13.5" customHeight="1">
      <c r="A441" s="41" t="s">
        <v>195</v>
      </c>
      <c r="B441" s="41" t="str">
        <f t="shared" si="57"/>
        <v>Cortinas</v>
      </c>
      <c r="C441" s="42" t="str">
        <f t="shared" si="58"/>
        <v/>
      </c>
      <c r="D441" s="41">
        <v>8.0</v>
      </c>
      <c r="E441" s="43">
        <v>25000.0</v>
      </c>
      <c r="F441" s="43">
        <f t="shared" si="59"/>
        <v>200000</v>
      </c>
      <c r="G441" s="31"/>
      <c r="H441" s="31"/>
      <c r="I441" s="31"/>
      <c r="J441" s="31"/>
      <c r="K441" s="31"/>
      <c r="L441" s="31"/>
      <c r="M441" s="31"/>
      <c r="N441" s="31"/>
      <c r="O441" s="31"/>
      <c r="P441" s="31"/>
      <c r="Q441" s="31"/>
      <c r="R441" s="31"/>
      <c r="S441" s="31"/>
      <c r="T441" s="31"/>
      <c r="U441" s="31"/>
      <c r="V441" s="31"/>
      <c r="W441" s="31"/>
      <c r="X441" s="31"/>
      <c r="Y441" s="31"/>
      <c r="Z441" s="31"/>
    </row>
    <row r="442" ht="13.5" customHeight="1">
      <c r="A442" s="31"/>
      <c r="B442" s="31"/>
      <c r="C442" s="31"/>
      <c r="D442" s="31"/>
      <c r="E442" s="44" t="s">
        <v>63</v>
      </c>
      <c r="F442" s="45">
        <f>SUM(PACC!$F$440:$F$441)</f>
        <v>300000</v>
      </c>
      <c r="G442" s="31"/>
      <c r="H442" s="31" t="str">
        <f>C433</f>
        <v>Bienes</v>
      </c>
      <c r="I442" s="31" t="str">
        <f>E433</f>
        <v>No</v>
      </c>
      <c r="J442" s="31" t="str">
        <f>D433</f>
        <v>Compras Menores</v>
      </c>
      <c r="K442" s="31"/>
      <c r="L442" s="31"/>
      <c r="M442" s="31"/>
      <c r="N442" s="31"/>
      <c r="O442" s="31"/>
      <c r="P442" s="31"/>
      <c r="Q442" s="31"/>
      <c r="R442" s="31"/>
      <c r="S442" s="31"/>
      <c r="T442" s="31"/>
      <c r="U442" s="31"/>
      <c r="V442" s="31"/>
      <c r="W442" s="31"/>
      <c r="X442" s="31"/>
      <c r="Y442" s="31"/>
      <c r="Z442" s="31"/>
    </row>
    <row r="443" ht="13.5" customHeight="1">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row>
    <row r="444" ht="33.75" customHeight="1">
      <c r="A444" s="32" t="s">
        <v>19</v>
      </c>
      <c r="B444" s="32" t="s">
        <v>20</v>
      </c>
      <c r="C444" s="32" t="s">
        <v>21</v>
      </c>
      <c r="D444" s="32" t="s">
        <v>22</v>
      </c>
      <c r="E444" s="32" t="s">
        <v>23</v>
      </c>
      <c r="F444" s="32" t="s">
        <v>24</v>
      </c>
      <c r="G444" s="31"/>
      <c r="H444" s="31"/>
      <c r="I444" s="31"/>
      <c r="J444" s="31"/>
      <c r="K444" s="31"/>
      <c r="L444" s="31"/>
      <c r="M444" s="31"/>
      <c r="N444" s="31"/>
      <c r="O444" s="31"/>
      <c r="P444" s="31"/>
      <c r="Q444" s="31"/>
      <c r="R444" s="31"/>
      <c r="S444" s="31"/>
      <c r="T444" s="31"/>
      <c r="U444" s="31"/>
      <c r="V444" s="31"/>
      <c r="W444" s="31"/>
      <c r="X444" s="31"/>
      <c r="Y444" s="31"/>
      <c r="Z444" s="31"/>
    </row>
    <row r="445" ht="13.5" customHeight="1">
      <c r="A445" s="33" t="s">
        <v>196</v>
      </c>
      <c r="B445" s="33" t="s">
        <v>197</v>
      </c>
      <c r="C445" s="33" t="s">
        <v>27</v>
      </c>
      <c r="D445" s="33" t="s">
        <v>116</v>
      </c>
      <c r="E445" s="33" t="s">
        <v>67</v>
      </c>
      <c r="F445" s="33"/>
      <c r="G445" s="31"/>
      <c r="H445" s="31"/>
      <c r="I445" s="31"/>
      <c r="J445" s="31"/>
      <c r="K445" s="31"/>
      <c r="L445" s="31"/>
      <c r="M445" s="31"/>
      <c r="N445" s="31"/>
      <c r="O445" s="31"/>
      <c r="P445" s="31"/>
      <c r="Q445" s="31"/>
      <c r="R445" s="31"/>
      <c r="S445" s="31"/>
      <c r="T445" s="31"/>
      <c r="U445" s="31"/>
      <c r="V445" s="31"/>
      <c r="W445" s="31"/>
      <c r="X445" s="31"/>
      <c r="Y445" s="31"/>
      <c r="Z445" s="31"/>
    </row>
    <row r="446" ht="13.5" customHeight="1">
      <c r="A446" s="34" t="s">
        <v>30</v>
      </c>
      <c r="B446" s="35" t="s">
        <v>31</v>
      </c>
      <c r="C446" s="36">
        <v>45026.0</v>
      </c>
      <c r="D446" s="34" t="s">
        <v>32</v>
      </c>
      <c r="E446" s="35" t="s">
        <v>33</v>
      </c>
      <c r="F446" s="37"/>
      <c r="G446" s="31"/>
      <c r="H446" s="31"/>
      <c r="I446" s="31"/>
      <c r="J446" s="31"/>
      <c r="K446" s="31"/>
      <c r="L446" s="31"/>
      <c r="M446" s="31"/>
      <c r="N446" s="31"/>
      <c r="O446" s="31"/>
      <c r="P446" s="31"/>
      <c r="Q446" s="31"/>
      <c r="R446" s="31"/>
      <c r="S446" s="31"/>
      <c r="T446" s="31"/>
      <c r="U446" s="31"/>
      <c r="V446" s="31"/>
      <c r="W446" s="31"/>
      <c r="X446" s="31"/>
      <c r="Y446" s="31"/>
      <c r="Z446" s="31"/>
    </row>
    <row r="447" ht="13.5" customHeight="1">
      <c r="A447" s="38"/>
      <c r="B447" s="35" t="s">
        <v>34</v>
      </c>
      <c r="C447" s="33">
        <f>IF(C446="","",IF(AND(MONTH(C446)&gt;=1,MONTH(C446)&lt;=3),1,IF(AND(MONTH(C446)&gt;=4,MONTH(C446)&lt;=6),2,IF(AND(MONTH(C446)&gt;=7,MONTH(C446)&lt;=9),3,4))))</f>
        <v>2</v>
      </c>
      <c r="D447" s="38"/>
      <c r="E447" s="35" t="s">
        <v>35</v>
      </c>
      <c r="F447" s="37"/>
      <c r="G447" s="31"/>
      <c r="H447" s="31"/>
      <c r="I447" s="31"/>
      <c r="J447" s="31"/>
      <c r="K447" s="31"/>
      <c r="L447" s="31"/>
      <c r="M447" s="31"/>
      <c r="N447" s="31"/>
      <c r="O447" s="31"/>
      <c r="P447" s="31"/>
      <c r="Q447" s="31"/>
      <c r="R447" s="31"/>
      <c r="S447" s="31"/>
      <c r="T447" s="31"/>
      <c r="U447" s="31"/>
      <c r="V447" s="31"/>
      <c r="W447" s="31"/>
      <c r="X447" s="31"/>
      <c r="Y447" s="31"/>
      <c r="Z447" s="31"/>
    </row>
    <row r="448" ht="13.5" customHeight="1">
      <c r="A448" s="38"/>
      <c r="B448" s="35" t="s">
        <v>36</v>
      </c>
      <c r="C448" s="36">
        <v>45040.0</v>
      </c>
      <c r="D448" s="38"/>
      <c r="E448" s="35" t="s">
        <v>37</v>
      </c>
      <c r="F448" s="37"/>
      <c r="G448" s="31"/>
      <c r="H448" s="31"/>
      <c r="I448" s="31"/>
      <c r="J448" s="31"/>
      <c r="K448" s="31"/>
      <c r="L448" s="31"/>
      <c r="M448" s="31"/>
      <c r="N448" s="31"/>
      <c r="O448" s="31"/>
      <c r="P448" s="31"/>
      <c r="Q448" s="31"/>
      <c r="R448" s="31"/>
      <c r="S448" s="31"/>
      <c r="T448" s="31"/>
      <c r="U448" s="31"/>
      <c r="V448" s="31"/>
      <c r="W448" s="31"/>
      <c r="X448" s="31"/>
      <c r="Y448" s="31"/>
      <c r="Z448" s="31"/>
    </row>
    <row r="449" ht="13.5" customHeight="1">
      <c r="A449" s="39"/>
      <c r="B449" s="35" t="s">
        <v>34</v>
      </c>
      <c r="C449" s="33">
        <f>IF(C448="","",IF(AND(MONTH(C448)&gt;=1,MONTH(C448)&lt;=3),1,IF(AND(MONTH(C448)&gt;=4,MONTH(C448)&lt;=6),2,IF(AND(MONTH(C448)&gt;=7,MONTH(C448)&lt;=9),3,4))))</f>
        <v>2</v>
      </c>
      <c r="D449" s="39"/>
      <c r="E449" s="35" t="s">
        <v>38</v>
      </c>
      <c r="F449" s="37"/>
      <c r="G449" s="31"/>
      <c r="H449" s="31"/>
      <c r="I449" s="31"/>
      <c r="J449" s="31"/>
      <c r="K449" s="31"/>
      <c r="L449" s="31"/>
      <c r="M449" s="31"/>
      <c r="N449" s="31"/>
      <c r="O449" s="31"/>
      <c r="P449" s="31"/>
      <c r="Q449" s="31"/>
      <c r="R449" s="31"/>
      <c r="S449" s="31"/>
      <c r="T449" s="31"/>
      <c r="U449" s="31"/>
      <c r="V449" s="31"/>
      <c r="W449" s="31"/>
      <c r="X449" s="31"/>
      <c r="Y449" s="31"/>
      <c r="Z449" s="31"/>
    </row>
    <row r="450" ht="13.5" customHeight="1">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row>
    <row r="451" ht="13.5" customHeight="1">
      <c r="A451" s="40" t="s">
        <v>39</v>
      </c>
      <c r="B451" s="40" t="s">
        <v>40</v>
      </c>
      <c r="C451" s="40" t="s">
        <v>41</v>
      </c>
      <c r="D451" s="40" t="s">
        <v>42</v>
      </c>
      <c r="E451" s="40" t="s">
        <v>43</v>
      </c>
      <c r="F451" s="40" t="s">
        <v>44</v>
      </c>
      <c r="G451" s="31"/>
      <c r="H451" s="31"/>
      <c r="I451" s="31"/>
      <c r="J451" s="31"/>
      <c r="K451" s="31"/>
      <c r="L451" s="31"/>
      <c r="M451" s="31"/>
      <c r="N451" s="31"/>
      <c r="O451" s="31"/>
      <c r="P451" s="31"/>
      <c r="Q451" s="31"/>
      <c r="R451" s="31"/>
      <c r="S451" s="31"/>
      <c r="T451" s="31"/>
      <c r="U451" s="31"/>
      <c r="V451" s="31"/>
      <c r="W451" s="31"/>
      <c r="X451" s="31"/>
      <c r="Y451" s="31"/>
      <c r="Z451" s="31"/>
    </row>
    <row r="452" ht="13.5" customHeight="1">
      <c r="A452" s="41" t="s">
        <v>198</v>
      </c>
      <c r="B452" s="41" t="str">
        <f t="shared" ref="B452:B453" si="60">IFERROR(INDEX(#REF!,MATCH(INDIRECT(ADDRESS(ROW(),COLUMN()-1,4)),#REF!,0)),IF(INDIRECT(ADDRESS(ROW(),COLUMN()-1,4))="14111704","Papel higiénico",""))</f>
        <v>Papel higiénico</v>
      </c>
      <c r="C452" s="42" t="str">
        <f t="shared" ref="C452:C453" si="61">IFERROR(VLOOKUP("UD",'Informacion '!P:Q,2,FALSE),"")</f>
        <v/>
      </c>
      <c r="D452" s="41">
        <v>500.0</v>
      </c>
      <c r="E452" s="43">
        <v>350.0</v>
      </c>
      <c r="F452" s="43">
        <f t="shared" ref="F452:F453" si="62">INDIRECT(ADDRESS(ROW(),COLUMN()-2,4))*INDIRECT(ADDRESS(ROW(),COLUMN()-1,4))</f>
        <v>175000</v>
      </c>
      <c r="G452" s="31"/>
      <c r="H452" s="31"/>
      <c r="I452" s="31"/>
      <c r="J452" s="31"/>
      <c r="K452" s="31"/>
      <c r="L452" s="31"/>
      <c r="M452" s="31"/>
      <c r="N452" s="31"/>
      <c r="O452" s="31"/>
      <c r="P452" s="31"/>
      <c r="Q452" s="31"/>
      <c r="R452" s="31"/>
      <c r="S452" s="31"/>
      <c r="T452" s="31"/>
      <c r="U452" s="31"/>
      <c r="V452" s="31"/>
      <c r="W452" s="31"/>
      <c r="X452" s="31"/>
      <c r="Y452" s="31"/>
      <c r="Z452" s="31"/>
    </row>
    <row r="453" ht="13.5" customHeight="1">
      <c r="A453" s="41" t="s">
        <v>198</v>
      </c>
      <c r="B453" s="41" t="str">
        <f t="shared" si="60"/>
        <v>Papel higiénico</v>
      </c>
      <c r="C453" s="42" t="str">
        <f t="shared" si="61"/>
        <v/>
      </c>
      <c r="D453" s="41">
        <v>200.0</v>
      </c>
      <c r="E453" s="43">
        <v>625.0</v>
      </c>
      <c r="F453" s="43">
        <f t="shared" si="62"/>
        <v>125000</v>
      </c>
      <c r="G453" s="31"/>
      <c r="H453" s="31"/>
      <c r="I453" s="31"/>
      <c r="J453" s="31"/>
      <c r="K453" s="31"/>
      <c r="L453" s="31"/>
      <c r="M453" s="31"/>
      <c r="N453" s="31"/>
      <c r="O453" s="31"/>
      <c r="P453" s="31"/>
      <c r="Q453" s="31"/>
      <c r="R453" s="31"/>
      <c r="S453" s="31"/>
      <c r="T453" s="31"/>
      <c r="U453" s="31"/>
      <c r="V453" s="31"/>
      <c r="W453" s="31"/>
      <c r="X453" s="31"/>
      <c r="Y453" s="31"/>
      <c r="Z453" s="31"/>
    </row>
    <row r="454" ht="13.5" customHeight="1">
      <c r="A454" s="31"/>
      <c r="B454" s="31"/>
      <c r="C454" s="31"/>
      <c r="D454" s="31"/>
      <c r="E454" s="44" t="s">
        <v>63</v>
      </c>
      <c r="F454" s="45">
        <f>SUM(PACC!$F$452:$F$453)</f>
        <v>300000</v>
      </c>
      <c r="G454" s="31"/>
      <c r="H454" s="31" t="str">
        <f>C445</f>
        <v>Bienes</v>
      </c>
      <c r="I454" s="31" t="str">
        <f>E445</f>
        <v>No</v>
      </c>
      <c r="J454" s="31" t="str">
        <f>D445</f>
        <v>Compras Menores</v>
      </c>
      <c r="K454" s="31"/>
      <c r="L454" s="31"/>
      <c r="M454" s="31"/>
      <c r="N454" s="31"/>
      <c r="O454" s="31"/>
      <c r="P454" s="31"/>
      <c r="Q454" s="31"/>
      <c r="R454" s="31"/>
      <c r="S454" s="31"/>
      <c r="T454" s="31"/>
      <c r="U454" s="31"/>
      <c r="V454" s="31"/>
      <c r="W454" s="31"/>
      <c r="X454" s="31"/>
      <c r="Y454" s="31"/>
      <c r="Z454" s="31"/>
    </row>
    <row r="455" ht="13.5" customHeight="1">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row>
    <row r="456" ht="33.75" customHeight="1">
      <c r="A456" s="32" t="s">
        <v>19</v>
      </c>
      <c r="B456" s="32" t="s">
        <v>20</v>
      </c>
      <c r="C456" s="32" t="s">
        <v>21</v>
      </c>
      <c r="D456" s="32" t="s">
        <v>22</v>
      </c>
      <c r="E456" s="32" t="s">
        <v>23</v>
      </c>
      <c r="F456" s="32" t="s">
        <v>24</v>
      </c>
      <c r="G456" s="31"/>
      <c r="H456" s="31"/>
      <c r="I456" s="31"/>
      <c r="J456" s="31"/>
      <c r="K456" s="31"/>
      <c r="L456" s="31"/>
      <c r="M456" s="31"/>
      <c r="N456" s="31"/>
      <c r="O456" s="31"/>
      <c r="P456" s="31"/>
      <c r="Q456" s="31"/>
      <c r="R456" s="31"/>
      <c r="S456" s="31"/>
      <c r="T456" s="31"/>
      <c r="U456" s="31"/>
      <c r="V456" s="31"/>
      <c r="W456" s="31"/>
      <c r="X456" s="31"/>
      <c r="Y456" s="31"/>
      <c r="Z456" s="31"/>
    </row>
    <row r="457" ht="13.5" customHeight="1">
      <c r="A457" s="33" t="s">
        <v>199</v>
      </c>
      <c r="B457" s="33" t="s">
        <v>200</v>
      </c>
      <c r="C457" s="33" t="s">
        <v>27</v>
      </c>
      <c r="D457" s="33" t="s">
        <v>116</v>
      </c>
      <c r="E457" s="33" t="s">
        <v>67</v>
      </c>
      <c r="F457" s="33"/>
      <c r="G457" s="31"/>
      <c r="H457" s="31"/>
      <c r="I457" s="31"/>
      <c r="J457" s="31"/>
      <c r="K457" s="31"/>
      <c r="L457" s="31"/>
      <c r="M457" s="31"/>
      <c r="N457" s="31"/>
      <c r="O457" s="31"/>
      <c r="P457" s="31"/>
      <c r="Q457" s="31"/>
      <c r="R457" s="31"/>
      <c r="S457" s="31"/>
      <c r="T457" s="31"/>
      <c r="U457" s="31"/>
      <c r="V457" s="31"/>
      <c r="W457" s="31"/>
      <c r="X457" s="31"/>
      <c r="Y457" s="31"/>
      <c r="Z457" s="31"/>
    </row>
    <row r="458" ht="13.5" customHeight="1">
      <c r="A458" s="34" t="s">
        <v>30</v>
      </c>
      <c r="B458" s="35" t="s">
        <v>31</v>
      </c>
      <c r="C458" s="36">
        <v>45037.0</v>
      </c>
      <c r="D458" s="34" t="s">
        <v>32</v>
      </c>
      <c r="E458" s="35" t="s">
        <v>33</v>
      </c>
      <c r="F458" s="37"/>
      <c r="G458" s="31"/>
      <c r="H458" s="31"/>
      <c r="I458" s="31"/>
      <c r="J458" s="31"/>
      <c r="K458" s="31"/>
      <c r="L458" s="31"/>
      <c r="M458" s="31"/>
      <c r="N458" s="31"/>
      <c r="O458" s="31"/>
      <c r="P458" s="31"/>
      <c r="Q458" s="31"/>
      <c r="R458" s="31"/>
      <c r="S458" s="31"/>
      <c r="T458" s="31"/>
      <c r="U458" s="31"/>
      <c r="V458" s="31"/>
      <c r="W458" s="31"/>
      <c r="X458" s="31"/>
      <c r="Y458" s="31"/>
      <c r="Z458" s="31"/>
    </row>
    <row r="459" ht="13.5" customHeight="1">
      <c r="A459" s="38"/>
      <c r="B459" s="35" t="s">
        <v>34</v>
      </c>
      <c r="C459" s="33">
        <f>IF(C458="","",IF(AND(MONTH(C458)&gt;=1,MONTH(C458)&lt;=3),1,IF(AND(MONTH(C458)&gt;=4,MONTH(C458)&lt;=6),2,IF(AND(MONTH(C458)&gt;=7,MONTH(C458)&lt;=9),3,4))))</f>
        <v>2</v>
      </c>
      <c r="D459" s="38"/>
      <c r="E459" s="35" t="s">
        <v>35</v>
      </c>
      <c r="F459" s="37"/>
      <c r="G459" s="31"/>
      <c r="H459" s="31"/>
      <c r="I459" s="31"/>
      <c r="J459" s="31"/>
      <c r="K459" s="31"/>
      <c r="L459" s="31"/>
      <c r="M459" s="31"/>
      <c r="N459" s="31"/>
      <c r="O459" s="31"/>
      <c r="P459" s="31"/>
      <c r="Q459" s="31"/>
      <c r="R459" s="31"/>
      <c r="S459" s="31"/>
      <c r="T459" s="31"/>
      <c r="U459" s="31"/>
      <c r="V459" s="31"/>
      <c r="W459" s="31"/>
      <c r="X459" s="31"/>
      <c r="Y459" s="31"/>
      <c r="Z459" s="31"/>
    </row>
    <row r="460" ht="13.5" customHeight="1">
      <c r="A460" s="38"/>
      <c r="B460" s="35" t="s">
        <v>36</v>
      </c>
      <c r="C460" s="36">
        <v>45056.0</v>
      </c>
      <c r="D460" s="38"/>
      <c r="E460" s="35" t="s">
        <v>37</v>
      </c>
      <c r="F460" s="37"/>
      <c r="G460" s="31"/>
      <c r="H460" s="31"/>
      <c r="I460" s="31"/>
      <c r="J460" s="31"/>
      <c r="K460" s="31"/>
      <c r="L460" s="31"/>
      <c r="M460" s="31"/>
      <c r="N460" s="31"/>
      <c r="O460" s="31"/>
      <c r="P460" s="31"/>
      <c r="Q460" s="31"/>
      <c r="R460" s="31"/>
      <c r="S460" s="31"/>
      <c r="T460" s="31"/>
      <c r="U460" s="31"/>
      <c r="V460" s="31"/>
      <c r="W460" s="31"/>
      <c r="X460" s="31"/>
      <c r="Y460" s="31"/>
      <c r="Z460" s="31"/>
    </row>
    <row r="461" ht="13.5" customHeight="1">
      <c r="A461" s="39"/>
      <c r="B461" s="35" t="s">
        <v>34</v>
      </c>
      <c r="C461" s="33">
        <f>IF(C460="","",IF(AND(MONTH(C460)&gt;=1,MONTH(C460)&lt;=3),1,IF(AND(MONTH(C460)&gt;=4,MONTH(C460)&lt;=6),2,IF(AND(MONTH(C460)&gt;=7,MONTH(C460)&lt;=9),3,4))))</f>
        <v>2</v>
      </c>
      <c r="D461" s="39"/>
      <c r="E461" s="35" t="s">
        <v>38</v>
      </c>
      <c r="F461" s="37"/>
      <c r="G461" s="31"/>
      <c r="H461" s="31"/>
      <c r="I461" s="31"/>
      <c r="J461" s="31"/>
      <c r="K461" s="31"/>
      <c r="L461" s="31"/>
      <c r="M461" s="31"/>
      <c r="N461" s="31"/>
      <c r="O461" s="31"/>
      <c r="P461" s="31"/>
      <c r="Q461" s="31"/>
      <c r="R461" s="31"/>
      <c r="S461" s="31"/>
      <c r="T461" s="31"/>
      <c r="U461" s="31"/>
      <c r="V461" s="31"/>
      <c r="W461" s="31"/>
      <c r="X461" s="31"/>
      <c r="Y461" s="31"/>
      <c r="Z461" s="31"/>
    </row>
    <row r="462" ht="13.5" customHeight="1">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row>
    <row r="463" ht="13.5" customHeight="1">
      <c r="A463" s="40" t="s">
        <v>39</v>
      </c>
      <c r="B463" s="40" t="s">
        <v>40</v>
      </c>
      <c r="C463" s="40" t="s">
        <v>41</v>
      </c>
      <c r="D463" s="40" t="s">
        <v>42</v>
      </c>
      <c r="E463" s="40" t="s">
        <v>43</v>
      </c>
      <c r="F463" s="40" t="s">
        <v>44</v>
      </c>
      <c r="G463" s="31"/>
      <c r="H463" s="31"/>
      <c r="I463" s="31"/>
      <c r="J463" s="31"/>
      <c r="K463" s="31"/>
      <c r="L463" s="31"/>
      <c r="M463" s="31"/>
      <c r="N463" s="31"/>
      <c r="O463" s="31"/>
      <c r="P463" s="31"/>
      <c r="Q463" s="31"/>
      <c r="R463" s="31"/>
      <c r="S463" s="31"/>
      <c r="T463" s="31"/>
      <c r="U463" s="31"/>
      <c r="V463" s="31"/>
      <c r="W463" s="31"/>
      <c r="X463" s="31"/>
      <c r="Y463" s="31"/>
      <c r="Z463" s="31"/>
    </row>
    <row r="464" ht="13.5" customHeight="1">
      <c r="A464" s="41" t="s">
        <v>201</v>
      </c>
      <c r="B464" s="41" t="str">
        <f t="shared" ref="B464:B466" si="63">IFERROR(INDEX(#REF!,MATCH(INDIRECT(ADDRESS(ROW(),COLUMN()-1,4)),#REF!,0)),IF(INDIRECT(ADDRESS(ROW(),COLUMN()-1,4))="39101601","Lámparas halógenas",""))</f>
        <v>Lámparas halógenas</v>
      </c>
      <c r="C464" s="42" t="str">
        <f t="shared" ref="C464:C470" si="64">IFERROR(VLOOKUP("UD",'Informacion '!P:Q,2,FALSE),"")</f>
        <v/>
      </c>
      <c r="D464" s="41">
        <v>20.0</v>
      </c>
      <c r="E464" s="43">
        <v>6000.0</v>
      </c>
      <c r="F464" s="43">
        <f t="shared" ref="F464:F470" si="65">INDIRECT(ADDRESS(ROW(),COLUMN()-2,4))*INDIRECT(ADDRESS(ROW(),COLUMN()-1,4))</f>
        <v>120000</v>
      </c>
      <c r="G464" s="31"/>
      <c r="H464" s="31"/>
      <c r="I464" s="31"/>
      <c r="J464" s="31"/>
      <c r="K464" s="31"/>
      <c r="L464" s="31"/>
      <c r="M464" s="31"/>
      <c r="N464" s="31"/>
      <c r="O464" s="31"/>
      <c r="P464" s="31"/>
      <c r="Q464" s="31"/>
      <c r="R464" s="31"/>
      <c r="S464" s="31"/>
      <c r="T464" s="31"/>
      <c r="U464" s="31"/>
      <c r="V464" s="31"/>
      <c r="W464" s="31"/>
      <c r="X464" s="31"/>
      <c r="Y464" s="31"/>
      <c r="Z464" s="31"/>
    </row>
    <row r="465" ht="13.5" customHeight="1">
      <c r="A465" s="41" t="s">
        <v>201</v>
      </c>
      <c r="B465" s="41" t="str">
        <f t="shared" si="63"/>
        <v>Lámparas halógenas</v>
      </c>
      <c r="C465" s="42" t="str">
        <f t="shared" si="64"/>
        <v/>
      </c>
      <c r="D465" s="41">
        <v>60.0</v>
      </c>
      <c r="E465" s="43">
        <v>850.0</v>
      </c>
      <c r="F465" s="43">
        <f t="shared" si="65"/>
        <v>51000</v>
      </c>
      <c r="G465" s="31"/>
      <c r="H465" s="31"/>
      <c r="I465" s="31"/>
      <c r="J465" s="31"/>
      <c r="K465" s="31"/>
      <c r="L465" s="31"/>
      <c r="M465" s="31"/>
      <c r="N465" s="31"/>
      <c r="O465" s="31"/>
      <c r="P465" s="31"/>
      <c r="Q465" s="31"/>
      <c r="R465" s="31"/>
      <c r="S465" s="31"/>
      <c r="T465" s="31"/>
      <c r="U465" s="31"/>
      <c r="V465" s="31"/>
      <c r="W465" s="31"/>
      <c r="X465" s="31"/>
      <c r="Y465" s="31"/>
      <c r="Z465" s="31"/>
    </row>
    <row r="466" ht="13.5" customHeight="1">
      <c r="A466" s="41" t="s">
        <v>201</v>
      </c>
      <c r="B466" s="41" t="str">
        <f t="shared" si="63"/>
        <v>Lámparas halógenas</v>
      </c>
      <c r="C466" s="42" t="str">
        <f t="shared" si="64"/>
        <v/>
      </c>
      <c r="D466" s="41">
        <v>60.0</v>
      </c>
      <c r="E466" s="43">
        <v>850.0</v>
      </c>
      <c r="F466" s="43">
        <f t="shared" si="65"/>
        <v>51000</v>
      </c>
      <c r="G466" s="31"/>
      <c r="H466" s="31"/>
      <c r="I466" s="31"/>
      <c r="J466" s="31"/>
      <c r="K466" s="31"/>
      <c r="L466" s="31"/>
      <c r="M466" s="31"/>
      <c r="N466" s="31"/>
      <c r="O466" s="31"/>
      <c r="P466" s="31"/>
      <c r="Q466" s="31"/>
      <c r="R466" s="31"/>
      <c r="S466" s="31"/>
      <c r="T466" s="31"/>
      <c r="U466" s="31"/>
      <c r="V466" s="31"/>
      <c r="W466" s="31"/>
      <c r="X466" s="31"/>
      <c r="Y466" s="31"/>
      <c r="Z466" s="31"/>
    </row>
    <row r="467" ht="13.5" customHeight="1">
      <c r="A467" s="41" t="s">
        <v>202</v>
      </c>
      <c r="B467" s="41" t="str">
        <f t="shared" ref="B467:B469" si="66">IFERROR(INDEX(#REF!,MATCH(INDIRECT(ADDRESS(ROW(),COLUMN()-1,4)),#REF!,0)),IF(INDIRECT(ADDRESS(ROW(),COLUMN()-1,4))="39121311","Accesorios eléctricos",""))</f>
        <v>Accesorios eléctricos</v>
      </c>
      <c r="C467" s="42" t="str">
        <f t="shared" si="64"/>
        <v/>
      </c>
      <c r="D467" s="41">
        <v>50.0</v>
      </c>
      <c r="E467" s="43">
        <v>175.0</v>
      </c>
      <c r="F467" s="43">
        <f t="shared" si="65"/>
        <v>8750</v>
      </c>
      <c r="G467" s="31"/>
      <c r="H467" s="31"/>
      <c r="I467" s="31"/>
      <c r="J467" s="31"/>
      <c r="K467" s="31"/>
      <c r="L467" s="31"/>
      <c r="M467" s="31"/>
      <c r="N467" s="31"/>
      <c r="O467" s="31"/>
      <c r="P467" s="31"/>
      <c r="Q467" s="31"/>
      <c r="R467" s="31"/>
      <c r="S467" s="31"/>
      <c r="T467" s="31"/>
      <c r="U467" s="31"/>
      <c r="V467" s="31"/>
      <c r="W467" s="31"/>
      <c r="X467" s="31"/>
      <c r="Y467" s="31"/>
      <c r="Z467" s="31"/>
    </row>
    <row r="468" ht="13.5" customHeight="1">
      <c r="A468" s="41" t="s">
        <v>202</v>
      </c>
      <c r="B468" s="41" t="str">
        <f t="shared" si="66"/>
        <v>Accesorios eléctricos</v>
      </c>
      <c r="C468" s="42" t="str">
        <f t="shared" si="64"/>
        <v/>
      </c>
      <c r="D468" s="41">
        <v>50.0</v>
      </c>
      <c r="E468" s="43">
        <v>215.0</v>
      </c>
      <c r="F468" s="43">
        <f t="shared" si="65"/>
        <v>10750</v>
      </c>
      <c r="G468" s="31"/>
      <c r="H468" s="31"/>
      <c r="I468" s="31"/>
      <c r="J468" s="31"/>
      <c r="K468" s="31"/>
      <c r="L468" s="31"/>
      <c r="M468" s="31"/>
      <c r="N468" s="31"/>
      <c r="O468" s="31"/>
      <c r="P468" s="31"/>
      <c r="Q468" s="31"/>
      <c r="R468" s="31"/>
      <c r="S468" s="31"/>
      <c r="T468" s="31"/>
      <c r="U468" s="31"/>
      <c r="V468" s="31"/>
      <c r="W468" s="31"/>
      <c r="X468" s="31"/>
      <c r="Y468" s="31"/>
      <c r="Z468" s="31"/>
    </row>
    <row r="469" ht="13.5" customHeight="1">
      <c r="A469" s="41" t="s">
        <v>202</v>
      </c>
      <c r="B469" s="41" t="str">
        <f t="shared" si="66"/>
        <v>Accesorios eléctricos</v>
      </c>
      <c r="C469" s="42" t="str">
        <f t="shared" si="64"/>
        <v/>
      </c>
      <c r="D469" s="41">
        <v>50.0</v>
      </c>
      <c r="E469" s="43">
        <v>260.0</v>
      </c>
      <c r="F469" s="43">
        <f t="shared" si="65"/>
        <v>13000</v>
      </c>
      <c r="G469" s="31"/>
      <c r="H469" s="31"/>
      <c r="I469" s="31"/>
      <c r="J469" s="31"/>
      <c r="K469" s="31"/>
      <c r="L469" s="31"/>
      <c r="M469" s="31"/>
      <c r="N469" s="31"/>
      <c r="O469" s="31"/>
      <c r="P469" s="31"/>
      <c r="Q469" s="31"/>
      <c r="R469" s="31"/>
      <c r="S469" s="31"/>
      <c r="T469" s="31"/>
      <c r="U469" s="31"/>
      <c r="V469" s="31"/>
      <c r="W469" s="31"/>
      <c r="X469" s="31"/>
      <c r="Y469" s="31"/>
      <c r="Z469" s="31"/>
    </row>
    <row r="470" ht="13.5" customHeight="1">
      <c r="A470" s="41" t="s">
        <v>203</v>
      </c>
      <c r="B470" s="41" t="str">
        <f t="array" ref="B470">IFERROR(INDEX(#REF!,MATCH(INDIRECT(ADDRESS(ROW(),COLUMN()-1,4)),#REF!,0)),IF(INDIRECT(ADDRESS(ROW(),COLUMN()-1,4))="26121536","Cordón de extensión",""))</f>
        <v>Cordón de extensión</v>
      </c>
      <c r="C470" s="42" t="str">
        <f t="shared" si="64"/>
        <v/>
      </c>
      <c r="D470" s="41">
        <v>50.0</v>
      </c>
      <c r="E470" s="43">
        <v>910.0</v>
      </c>
      <c r="F470" s="43">
        <f t="shared" si="65"/>
        <v>45500</v>
      </c>
      <c r="G470" s="31"/>
      <c r="H470" s="31"/>
      <c r="I470" s="31"/>
      <c r="J470" s="31"/>
      <c r="K470" s="31"/>
      <c r="L470" s="31"/>
      <c r="M470" s="31"/>
      <c r="N470" s="31"/>
      <c r="O470" s="31"/>
      <c r="P470" s="31"/>
      <c r="Q470" s="31"/>
      <c r="R470" s="31"/>
      <c r="S470" s="31"/>
      <c r="T470" s="31"/>
      <c r="U470" s="31"/>
      <c r="V470" s="31"/>
      <c r="W470" s="31"/>
      <c r="X470" s="31"/>
      <c r="Y470" s="31"/>
      <c r="Z470" s="31"/>
    </row>
    <row r="471" ht="13.5" customHeight="1">
      <c r="A471" s="31"/>
      <c r="B471" s="31"/>
      <c r="C471" s="31"/>
      <c r="D471" s="31"/>
      <c r="E471" s="44" t="s">
        <v>63</v>
      </c>
      <c r="F471" s="45">
        <f>SUM(PACC!$F$464:$F$470)</f>
        <v>300000</v>
      </c>
      <c r="G471" s="31"/>
      <c r="H471" s="31" t="str">
        <f>C457</f>
        <v>Bienes</v>
      </c>
      <c r="I471" s="31" t="str">
        <f>E457</f>
        <v>No</v>
      </c>
      <c r="J471" s="31" t="str">
        <f>D457</f>
        <v>Compras Menores</v>
      </c>
      <c r="K471" s="31"/>
      <c r="L471" s="31"/>
      <c r="M471" s="31"/>
      <c r="N471" s="31"/>
      <c r="O471" s="31"/>
      <c r="P471" s="31"/>
      <c r="Q471" s="31"/>
      <c r="R471" s="31"/>
      <c r="S471" s="31"/>
      <c r="T471" s="31"/>
      <c r="U471" s="31"/>
      <c r="V471" s="31"/>
      <c r="W471" s="31"/>
      <c r="X471" s="31"/>
      <c r="Y471" s="31"/>
      <c r="Z471" s="31"/>
    </row>
    <row r="472" ht="13.5" customHeight="1">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row>
    <row r="473" ht="33.75" customHeight="1">
      <c r="A473" s="32" t="s">
        <v>19</v>
      </c>
      <c r="B473" s="32" t="s">
        <v>20</v>
      </c>
      <c r="C473" s="32" t="s">
        <v>21</v>
      </c>
      <c r="D473" s="32" t="s">
        <v>22</v>
      </c>
      <c r="E473" s="32" t="s">
        <v>23</v>
      </c>
      <c r="F473" s="32" t="s">
        <v>24</v>
      </c>
      <c r="G473" s="31"/>
      <c r="H473" s="31"/>
      <c r="I473" s="31"/>
      <c r="J473" s="31"/>
      <c r="K473" s="31"/>
      <c r="L473" s="31"/>
      <c r="M473" s="31"/>
      <c r="N473" s="31"/>
      <c r="O473" s="31"/>
      <c r="P473" s="31"/>
      <c r="Q473" s="31"/>
      <c r="R473" s="31"/>
      <c r="S473" s="31"/>
      <c r="T473" s="31"/>
      <c r="U473" s="31"/>
      <c r="V473" s="31"/>
      <c r="W473" s="31"/>
      <c r="X473" s="31"/>
      <c r="Y473" s="31"/>
      <c r="Z473" s="31"/>
    </row>
    <row r="474" ht="13.5" customHeight="1">
      <c r="A474" s="33" t="s">
        <v>204</v>
      </c>
      <c r="B474" s="33" t="s">
        <v>205</v>
      </c>
      <c r="C474" s="33" t="s">
        <v>27</v>
      </c>
      <c r="D474" s="33" t="s">
        <v>116</v>
      </c>
      <c r="E474" s="33" t="s">
        <v>67</v>
      </c>
      <c r="F474" s="33"/>
      <c r="G474" s="31"/>
      <c r="H474" s="31"/>
      <c r="I474" s="31"/>
      <c r="J474" s="31"/>
      <c r="K474" s="31"/>
      <c r="L474" s="31"/>
      <c r="M474" s="31"/>
      <c r="N474" s="31"/>
      <c r="O474" s="31"/>
      <c r="P474" s="31"/>
      <c r="Q474" s="31"/>
      <c r="R474" s="31"/>
      <c r="S474" s="31"/>
      <c r="T474" s="31"/>
      <c r="U474" s="31"/>
      <c r="V474" s="31"/>
      <c r="W474" s="31"/>
      <c r="X474" s="31"/>
      <c r="Y474" s="31"/>
      <c r="Z474" s="31"/>
    </row>
    <row r="475" ht="13.5" customHeight="1">
      <c r="A475" s="34" t="s">
        <v>30</v>
      </c>
      <c r="B475" s="35" t="s">
        <v>31</v>
      </c>
      <c r="C475" s="36">
        <v>45117.0</v>
      </c>
      <c r="D475" s="34" t="s">
        <v>32</v>
      </c>
      <c r="E475" s="35" t="s">
        <v>33</v>
      </c>
      <c r="F475" s="37"/>
      <c r="G475" s="31"/>
      <c r="H475" s="31"/>
      <c r="I475" s="31"/>
      <c r="J475" s="31"/>
      <c r="K475" s="31"/>
      <c r="L475" s="31"/>
      <c r="M475" s="31"/>
      <c r="N475" s="31"/>
      <c r="O475" s="31"/>
      <c r="P475" s="31"/>
      <c r="Q475" s="31"/>
      <c r="R475" s="31"/>
      <c r="S475" s="31"/>
      <c r="T475" s="31"/>
      <c r="U475" s="31"/>
      <c r="V475" s="31"/>
      <c r="W475" s="31"/>
      <c r="X475" s="31"/>
      <c r="Y475" s="31"/>
      <c r="Z475" s="31"/>
    </row>
    <row r="476" ht="13.5" customHeight="1">
      <c r="A476" s="38"/>
      <c r="B476" s="35" t="s">
        <v>34</v>
      </c>
      <c r="C476" s="33">
        <f>IF(C475="","",IF(AND(MONTH(C475)&gt;=1,MONTH(C475)&lt;=3),1,IF(AND(MONTH(C475)&gt;=4,MONTH(C475)&lt;=6),2,IF(AND(MONTH(C475)&gt;=7,MONTH(C475)&lt;=9),3,4))))</f>
        <v>3</v>
      </c>
      <c r="D476" s="38"/>
      <c r="E476" s="35" t="s">
        <v>35</v>
      </c>
      <c r="F476" s="37"/>
      <c r="G476" s="31"/>
      <c r="H476" s="31"/>
      <c r="I476" s="31"/>
      <c r="J476" s="31"/>
      <c r="K476" s="31"/>
      <c r="L476" s="31"/>
      <c r="M476" s="31"/>
      <c r="N476" s="31"/>
      <c r="O476" s="31"/>
      <c r="P476" s="31"/>
      <c r="Q476" s="31"/>
      <c r="R476" s="31"/>
      <c r="S476" s="31"/>
      <c r="T476" s="31"/>
      <c r="U476" s="31"/>
      <c r="V476" s="31"/>
      <c r="W476" s="31"/>
      <c r="X476" s="31"/>
      <c r="Y476" s="31"/>
      <c r="Z476" s="31"/>
    </row>
    <row r="477" ht="13.5" customHeight="1">
      <c r="A477" s="38"/>
      <c r="B477" s="35" t="s">
        <v>36</v>
      </c>
      <c r="C477" s="36">
        <v>45132.0</v>
      </c>
      <c r="D477" s="38"/>
      <c r="E477" s="35" t="s">
        <v>37</v>
      </c>
      <c r="F477" s="37"/>
      <c r="G477" s="31"/>
      <c r="H477" s="31"/>
      <c r="I477" s="31"/>
      <c r="J477" s="31"/>
      <c r="K477" s="31"/>
      <c r="L477" s="31"/>
      <c r="M477" s="31"/>
      <c r="N477" s="31"/>
      <c r="O477" s="31"/>
      <c r="P477" s="31"/>
      <c r="Q477" s="31"/>
      <c r="R477" s="31"/>
      <c r="S477" s="31"/>
      <c r="T477" s="31"/>
      <c r="U477" s="31"/>
      <c r="V477" s="31"/>
      <c r="W477" s="31"/>
      <c r="X477" s="31"/>
      <c r="Y477" s="31"/>
      <c r="Z477" s="31"/>
    </row>
    <row r="478" ht="13.5" customHeight="1">
      <c r="A478" s="39"/>
      <c r="B478" s="35" t="s">
        <v>34</v>
      </c>
      <c r="C478" s="33">
        <f>IF(C477="","",IF(AND(MONTH(C477)&gt;=1,MONTH(C477)&lt;=3),1,IF(AND(MONTH(C477)&gt;=4,MONTH(C477)&lt;=6),2,IF(AND(MONTH(C477)&gt;=7,MONTH(C477)&lt;=9),3,4))))</f>
        <v>3</v>
      </c>
      <c r="D478" s="39"/>
      <c r="E478" s="35" t="s">
        <v>38</v>
      </c>
      <c r="F478" s="37"/>
      <c r="G478" s="31"/>
      <c r="H478" s="31"/>
      <c r="I478" s="31"/>
      <c r="J478" s="31"/>
      <c r="K478" s="31"/>
      <c r="L478" s="31"/>
      <c r="M478" s="31"/>
      <c r="N478" s="31"/>
      <c r="O478" s="31"/>
      <c r="P478" s="31"/>
      <c r="Q478" s="31"/>
      <c r="R478" s="31"/>
      <c r="S478" s="31"/>
      <c r="T478" s="31"/>
      <c r="U478" s="31"/>
      <c r="V478" s="31"/>
      <c r="W478" s="31"/>
      <c r="X478" s="31"/>
      <c r="Y478" s="31"/>
      <c r="Z478" s="31"/>
    </row>
    <row r="479" ht="13.5" customHeight="1">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row>
    <row r="480" ht="13.5" customHeight="1">
      <c r="A480" s="40" t="s">
        <v>39</v>
      </c>
      <c r="B480" s="40" t="s">
        <v>40</v>
      </c>
      <c r="C480" s="40" t="s">
        <v>41</v>
      </c>
      <c r="D480" s="40" t="s">
        <v>42</v>
      </c>
      <c r="E480" s="40" t="s">
        <v>43</v>
      </c>
      <c r="F480" s="40" t="s">
        <v>44</v>
      </c>
      <c r="G480" s="31"/>
      <c r="H480" s="31"/>
      <c r="I480" s="31"/>
      <c r="J480" s="31"/>
      <c r="K480" s="31"/>
      <c r="L480" s="31"/>
      <c r="M480" s="31"/>
      <c r="N480" s="31"/>
      <c r="O480" s="31"/>
      <c r="P480" s="31"/>
      <c r="Q480" s="31"/>
      <c r="R480" s="31"/>
      <c r="S480" s="31"/>
      <c r="T480" s="31"/>
      <c r="U480" s="31"/>
      <c r="V480" s="31"/>
      <c r="W480" s="31"/>
      <c r="X480" s="31"/>
      <c r="Y480" s="31"/>
      <c r="Z480" s="31"/>
    </row>
    <row r="481" ht="13.5" customHeight="1">
      <c r="A481" s="41" t="s">
        <v>206</v>
      </c>
      <c r="B481" s="41" t="str">
        <f t="array" ref="B481">IFERROR(INDEX(#REF!,MATCH(INDIRECT(ADDRESS(ROW(),COLUMN()-1,4)),#REF!,0)),IF(INDIRECT(ADDRESS(ROW(),COLUMN()-1,4))="31211501","Pinturas de esmalte",""))</f>
        <v>Pinturas de esmalte</v>
      </c>
      <c r="C481" s="42" t="str">
        <f>IFERROR(VLOOKUP("GAL",'Informacion '!P:Q,2,FALSE),"")</f>
        <v/>
      </c>
      <c r="D481" s="41">
        <v>25.0</v>
      </c>
      <c r="E481" s="43">
        <v>2100.0</v>
      </c>
      <c r="F481" s="43">
        <f t="shared" ref="F481:F482" si="67">INDIRECT(ADDRESS(ROW(),COLUMN()-2,4))*INDIRECT(ADDRESS(ROW(),COLUMN()-1,4))</f>
        <v>52500</v>
      </c>
      <c r="G481" s="31"/>
      <c r="H481" s="31"/>
      <c r="I481" s="31"/>
      <c r="J481" s="31"/>
      <c r="K481" s="31"/>
      <c r="L481" s="31"/>
      <c r="M481" s="31"/>
      <c r="N481" s="31"/>
      <c r="O481" s="31"/>
      <c r="P481" s="31"/>
      <c r="Q481" s="31"/>
      <c r="R481" s="31"/>
      <c r="S481" s="31"/>
      <c r="T481" s="31"/>
      <c r="U481" s="31"/>
      <c r="V481" s="31"/>
      <c r="W481" s="31"/>
      <c r="X481" s="31"/>
      <c r="Y481" s="31"/>
      <c r="Z481" s="31"/>
    </row>
    <row r="482" ht="13.5" customHeight="1">
      <c r="A482" s="41" t="s">
        <v>207</v>
      </c>
      <c r="B482" s="41" t="str">
        <f t="array" ref="B482">IFERROR(INDEX(#REF!,MATCH(INDIRECT(ADDRESS(ROW(),COLUMN()-1,4)),#REF!,0)),IF(INDIRECT(ADDRESS(ROW(),COLUMN()-1,4))="31211506","Pinturas de látex",""))</f>
        <v>Pinturas de látex</v>
      </c>
      <c r="C482" s="42" t="str">
        <f>IFERROR(VLOOKUP("UD",'Informacion '!P:Q,2,FALSE),"")</f>
        <v/>
      </c>
      <c r="D482" s="41">
        <v>17.0</v>
      </c>
      <c r="E482" s="43">
        <v>7500.0</v>
      </c>
      <c r="F482" s="43">
        <f t="shared" si="67"/>
        <v>127500</v>
      </c>
      <c r="G482" s="31"/>
      <c r="H482" s="31"/>
      <c r="I482" s="31"/>
      <c r="J482" s="31"/>
      <c r="K482" s="31"/>
      <c r="L482" s="31"/>
      <c r="M482" s="31"/>
      <c r="N482" s="31"/>
      <c r="O482" s="31"/>
      <c r="P482" s="31"/>
      <c r="Q482" s="31"/>
      <c r="R482" s="31"/>
      <c r="S482" s="31"/>
      <c r="T482" s="31"/>
      <c r="U482" s="31"/>
      <c r="V482" s="31"/>
      <c r="W482" s="31"/>
      <c r="X482" s="31"/>
      <c r="Y482" s="31"/>
      <c r="Z482" s="31"/>
    </row>
    <row r="483" ht="13.5" customHeight="1">
      <c r="A483" s="31"/>
      <c r="B483" s="31"/>
      <c r="C483" s="31"/>
      <c r="D483" s="31"/>
      <c r="E483" s="44" t="s">
        <v>63</v>
      </c>
      <c r="F483" s="45">
        <f>SUM(PACC!$F$481:$F$482)</f>
        <v>180000</v>
      </c>
      <c r="G483" s="31"/>
      <c r="H483" s="31" t="str">
        <f>C474</f>
        <v>Bienes</v>
      </c>
      <c r="I483" s="31" t="str">
        <f>E474</f>
        <v>No</v>
      </c>
      <c r="J483" s="31" t="str">
        <f>D474</f>
        <v>Compras Menores</v>
      </c>
      <c r="K483" s="31"/>
      <c r="L483" s="31"/>
      <c r="M483" s="31"/>
      <c r="N483" s="31"/>
      <c r="O483" s="31"/>
      <c r="P483" s="31"/>
      <c r="Q483" s="31"/>
      <c r="R483" s="31"/>
      <c r="S483" s="31"/>
      <c r="T483" s="31"/>
      <c r="U483" s="31"/>
      <c r="V483" s="31"/>
      <c r="W483" s="31"/>
      <c r="X483" s="31"/>
      <c r="Y483" s="31"/>
      <c r="Z483" s="31"/>
    </row>
    <row r="484" ht="13.5" customHeight="1">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row>
    <row r="485" ht="33.75" customHeight="1">
      <c r="A485" s="32" t="s">
        <v>19</v>
      </c>
      <c r="B485" s="32" t="s">
        <v>20</v>
      </c>
      <c r="C485" s="32" t="s">
        <v>21</v>
      </c>
      <c r="D485" s="32" t="s">
        <v>22</v>
      </c>
      <c r="E485" s="32" t="s">
        <v>23</v>
      </c>
      <c r="F485" s="32" t="s">
        <v>24</v>
      </c>
      <c r="G485" s="31"/>
      <c r="H485" s="31"/>
      <c r="I485" s="31"/>
      <c r="J485" s="31"/>
      <c r="K485" s="31"/>
      <c r="L485" s="31"/>
      <c r="M485" s="31"/>
      <c r="N485" s="31"/>
      <c r="O485" s="31"/>
      <c r="P485" s="31"/>
      <c r="Q485" s="31"/>
      <c r="R485" s="31"/>
      <c r="S485" s="31"/>
      <c r="T485" s="31"/>
      <c r="U485" s="31"/>
      <c r="V485" s="31"/>
      <c r="W485" s="31"/>
      <c r="X485" s="31"/>
      <c r="Y485" s="31"/>
      <c r="Z485" s="31"/>
    </row>
    <row r="486" ht="13.5" customHeight="1">
      <c r="A486" s="33" t="s">
        <v>208</v>
      </c>
      <c r="B486" s="33" t="s">
        <v>209</v>
      </c>
      <c r="C486" s="33" t="s">
        <v>27</v>
      </c>
      <c r="D486" s="33" t="s">
        <v>124</v>
      </c>
      <c r="E486" s="33" t="s">
        <v>67</v>
      </c>
      <c r="F486" s="33"/>
      <c r="G486" s="31"/>
      <c r="H486" s="31"/>
      <c r="I486" s="31"/>
      <c r="J486" s="31"/>
      <c r="K486" s="31"/>
      <c r="L486" s="31"/>
      <c r="M486" s="31"/>
      <c r="N486" s="31"/>
      <c r="O486" s="31"/>
      <c r="P486" s="31"/>
      <c r="Q486" s="31"/>
      <c r="R486" s="31"/>
      <c r="S486" s="31"/>
      <c r="T486" s="31"/>
      <c r="U486" s="31"/>
      <c r="V486" s="31"/>
      <c r="W486" s="31"/>
      <c r="X486" s="31"/>
      <c r="Y486" s="31"/>
      <c r="Z486" s="31"/>
    </row>
    <row r="487" ht="13.5" customHeight="1">
      <c r="A487" s="34" t="s">
        <v>30</v>
      </c>
      <c r="B487" s="35" t="s">
        <v>31</v>
      </c>
      <c r="C487" s="36">
        <v>45208.0</v>
      </c>
      <c r="D487" s="34" t="s">
        <v>32</v>
      </c>
      <c r="E487" s="35" t="s">
        <v>33</v>
      </c>
      <c r="F487" s="37"/>
      <c r="G487" s="31"/>
      <c r="H487" s="31"/>
      <c r="I487" s="31"/>
      <c r="J487" s="31"/>
      <c r="K487" s="31"/>
      <c r="L487" s="31"/>
      <c r="M487" s="31"/>
      <c r="N487" s="31"/>
      <c r="O487" s="31"/>
      <c r="P487" s="31"/>
      <c r="Q487" s="31"/>
      <c r="R487" s="31"/>
      <c r="S487" s="31"/>
      <c r="T487" s="31"/>
      <c r="U487" s="31"/>
      <c r="V487" s="31"/>
      <c r="W487" s="31"/>
      <c r="X487" s="31"/>
      <c r="Y487" s="31"/>
      <c r="Z487" s="31"/>
    </row>
    <row r="488" ht="13.5" customHeight="1">
      <c r="A488" s="38"/>
      <c r="B488" s="35" t="s">
        <v>34</v>
      </c>
      <c r="C488" s="33">
        <f>IF(C487="","",IF(AND(MONTH(C487)&gt;=1,MONTH(C487)&lt;=3),1,IF(AND(MONTH(C487)&gt;=4,MONTH(C487)&lt;=6),2,IF(AND(MONTH(C487)&gt;=7,MONTH(C487)&lt;=9),3,4))))</f>
        <v>4</v>
      </c>
      <c r="D488" s="38"/>
      <c r="E488" s="35" t="s">
        <v>35</v>
      </c>
      <c r="F488" s="37"/>
      <c r="G488" s="31"/>
      <c r="H488" s="31"/>
      <c r="I488" s="31"/>
      <c r="J488" s="31"/>
      <c r="K488" s="31"/>
      <c r="L488" s="31"/>
      <c r="M488" s="31"/>
      <c r="N488" s="31"/>
      <c r="O488" s="31"/>
      <c r="P488" s="31"/>
      <c r="Q488" s="31"/>
      <c r="R488" s="31"/>
      <c r="S488" s="31"/>
      <c r="T488" s="31"/>
      <c r="U488" s="31"/>
      <c r="V488" s="31"/>
      <c r="W488" s="31"/>
      <c r="X488" s="31"/>
      <c r="Y488" s="31"/>
      <c r="Z488" s="31"/>
    </row>
    <row r="489" ht="13.5" customHeight="1">
      <c r="A489" s="38"/>
      <c r="B489" s="35" t="s">
        <v>36</v>
      </c>
      <c r="C489" s="36">
        <v>45211.0</v>
      </c>
      <c r="D489" s="38"/>
      <c r="E489" s="35" t="s">
        <v>37</v>
      </c>
      <c r="F489" s="37"/>
      <c r="G489" s="31"/>
      <c r="H489" s="31"/>
      <c r="I489" s="31"/>
      <c r="J489" s="31"/>
      <c r="K489" s="31"/>
      <c r="L489" s="31"/>
      <c r="M489" s="31"/>
      <c r="N489" s="31"/>
      <c r="O489" s="31"/>
      <c r="P489" s="31"/>
      <c r="Q489" s="31"/>
      <c r="R489" s="31"/>
      <c r="S489" s="31"/>
      <c r="T489" s="31"/>
      <c r="U489" s="31"/>
      <c r="V489" s="31"/>
      <c r="W489" s="31"/>
      <c r="X489" s="31"/>
      <c r="Y489" s="31"/>
      <c r="Z489" s="31"/>
    </row>
    <row r="490" ht="13.5" customHeight="1">
      <c r="A490" s="39"/>
      <c r="B490" s="35" t="s">
        <v>34</v>
      </c>
      <c r="C490" s="33">
        <f>IF(C489="","",IF(AND(MONTH(C489)&gt;=1,MONTH(C489)&lt;=3),1,IF(AND(MONTH(C489)&gt;=4,MONTH(C489)&lt;=6),2,IF(AND(MONTH(C489)&gt;=7,MONTH(C489)&lt;=9),3,4))))</f>
        <v>4</v>
      </c>
      <c r="D490" s="39"/>
      <c r="E490" s="35" t="s">
        <v>38</v>
      </c>
      <c r="F490" s="37"/>
      <c r="G490" s="31"/>
      <c r="H490" s="31"/>
      <c r="I490" s="31"/>
      <c r="J490" s="31"/>
      <c r="K490" s="31"/>
      <c r="L490" s="31"/>
      <c r="M490" s="31"/>
      <c r="N490" s="31"/>
      <c r="O490" s="31"/>
      <c r="P490" s="31"/>
      <c r="Q490" s="31"/>
      <c r="R490" s="31"/>
      <c r="S490" s="31"/>
      <c r="T490" s="31"/>
      <c r="U490" s="31"/>
      <c r="V490" s="31"/>
      <c r="W490" s="31"/>
      <c r="X490" s="31"/>
      <c r="Y490" s="31"/>
      <c r="Z490" s="31"/>
    </row>
    <row r="491" ht="13.5" customHeight="1">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row>
    <row r="492" ht="13.5" customHeight="1">
      <c r="A492" s="40" t="s">
        <v>39</v>
      </c>
      <c r="B492" s="40" t="s">
        <v>40</v>
      </c>
      <c r="C492" s="40" t="s">
        <v>41</v>
      </c>
      <c r="D492" s="40" t="s">
        <v>42</v>
      </c>
      <c r="E492" s="40" t="s">
        <v>43</v>
      </c>
      <c r="F492" s="40" t="s">
        <v>44</v>
      </c>
      <c r="G492" s="31"/>
      <c r="H492" s="31"/>
      <c r="I492" s="31"/>
      <c r="J492" s="31"/>
      <c r="K492" s="31"/>
      <c r="L492" s="31"/>
      <c r="M492" s="31"/>
      <c r="N492" s="31"/>
      <c r="O492" s="31"/>
      <c r="P492" s="31"/>
      <c r="Q492" s="31"/>
      <c r="R492" s="31"/>
      <c r="S492" s="31"/>
      <c r="T492" s="31"/>
      <c r="U492" s="31"/>
      <c r="V492" s="31"/>
      <c r="W492" s="31"/>
      <c r="X492" s="31"/>
      <c r="Y492" s="31"/>
      <c r="Z492" s="31"/>
    </row>
    <row r="493" ht="13.5" customHeight="1">
      <c r="A493" s="41" t="s">
        <v>210</v>
      </c>
      <c r="B493" s="41" t="str">
        <f t="array" ref="B493">IFERROR(INDEX(#REF!,MATCH(INDIRECT(ADDRESS(ROW(),COLUMN()-1,4)),#REF!,0)),IF(INDIRECT(ADDRESS(ROW(),COLUMN()-1,4))="12131601","Fuegos artificiales",""))</f>
        <v>Fuegos artificiales</v>
      </c>
      <c r="C493" s="42" t="str">
        <f>IFERROR(VLOOKUP("CAJ",'Informacion '!P:Q,2,FALSE),"")</f>
        <v/>
      </c>
      <c r="D493" s="41">
        <v>1.0</v>
      </c>
      <c r="E493" s="43">
        <v>100000.0</v>
      </c>
      <c r="F493" s="43">
        <f>INDIRECT(ADDRESS(ROW(),COLUMN()-2,4))*INDIRECT(ADDRESS(ROW(),COLUMN()-1,4))</f>
        <v>100000</v>
      </c>
      <c r="G493" s="31"/>
      <c r="H493" s="31"/>
      <c r="I493" s="31"/>
      <c r="J493" s="31"/>
      <c r="K493" s="31"/>
      <c r="L493" s="31"/>
      <c r="M493" s="31"/>
      <c r="N493" s="31"/>
      <c r="O493" s="31"/>
      <c r="P493" s="31"/>
      <c r="Q493" s="31"/>
      <c r="R493" s="31"/>
      <c r="S493" s="31"/>
      <c r="T493" s="31"/>
      <c r="U493" s="31"/>
      <c r="V493" s="31"/>
      <c r="W493" s="31"/>
      <c r="X493" s="31"/>
      <c r="Y493" s="31"/>
      <c r="Z493" s="31"/>
    </row>
    <row r="494" ht="13.5" customHeight="1">
      <c r="A494" s="31"/>
      <c r="B494" s="31"/>
      <c r="C494" s="31"/>
      <c r="D494" s="31"/>
      <c r="E494" s="44" t="s">
        <v>63</v>
      </c>
      <c r="F494" s="45">
        <f>SUM(PACC!$F$493)</f>
        <v>100000</v>
      </c>
      <c r="G494" s="31"/>
      <c r="H494" s="31" t="str">
        <f>C486</f>
        <v>Bienes</v>
      </c>
      <c r="I494" s="31" t="str">
        <f>E486</f>
        <v>No</v>
      </c>
      <c r="J494" s="31" t="str">
        <f>D486</f>
        <v>Compras por debajo del Umbral</v>
      </c>
      <c r="K494" s="31"/>
      <c r="L494" s="31"/>
      <c r="M494" s="31"/>
      <c r="N494" s="31"/>
      <c r="O494" s="31"/>
      <c r="P494" s="31"/>
      <c r="Q494" s="31"/>
      <c r="R494" s="31"/>
      <c r="S494" s="31"/>
      <c r="T494" s="31"/>
      <c r="U494" s="31"/>
      <c r="V494" s="31"/>
      <c r="W494" s="31"/>
      <c r="X494" s="31"/>
      <c r="Y494" s="31"/>
      <c r="Z494" s="31"/>
    </row>
    <row r="495" ht="13.5" customHeight="1">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row>
    <row r="496" ht="33.75" customHeight="1">
      <c r="A496" s="32" t="s">
        <v>19</v>
      </c>
      <c r="B496" s="32" t="s">
        <v>20</v>
      </c>
      <c r="C496" s="32" t="s">
        <v>21</v>
      </c>
      <c r="D496" s="32" t="s">
        <v>22</v>
      </c>
      <c r="E496" s="32" t="s">
        <v>23</v>
      </c>
      <c r="F496" s="32" t="s">
        <v>24</v>
      </c>
      <c r="G496" s="31"/>
      <c r="H496" s="31"/>
      <c r="I496" s="31"/>
      <c r="J496" s="31"/>
      <c r="K496" s="31"/>
      <c r="L496" s="31"/>
      <c r="M496" s="31"/>
      <c r="N496" s="31"/>
      <c r="O496" s="31"/>
      <c r="P496" s="31"/>
      <c r="Q496" s="31"/>
      <c r="R496" s="31"/>
      <c r="S496" s="31"/>
      <c r="T496" s="31"/>
      <c r="U496" s="31"/>
      <c r="V496" s="31"/>
      <c r="W496" s="31"/>
      <c r="X496" s="31"/>
      <c r="Y496" s="31"/>
      <c r="Z496" s="31"/>
    </row>
    <row r="497" ht="13.5" customHeight="1">
      <c r="A497" s="33" t="s">
        <v>211</v>
      </c>
      <c r="B497" s="33" t="s">
        <v>212</v>
      </c>
      <c r="C497" s="33" t="s">
        <v>27</v>
      </c>
      <c r="D497" s="33" t="s">
        <v>124</v>
      </c>
      <c r="E497" s="33" t="s">
        <v>67</v>
      </c>
      <c r="F497" s="33"/>
      <c r="G497" s="31"/>
      <c r="H497" s="31"/>
      <c r="I497" s="31"/>
      <c r="J497" s="31"/>
      <c r="K497" s="31"/>
      <c r="L497" s="31"/>
      <c r="M497" s="31"/>
      <c r="N497" s="31"/>
      <c r="O497" s="31"/>
      <c r="P497" s="31"/>
      <c r="Q497" s="31"/>
      <c r="R497" s="31"/>
      <c r="S497" s="31"/>
      <c r="T497" s="31"/>
      <c r="U497" s="31"/>
      <c r="V497" s="31"/>
      <c r="W497" s="31"/>
      <c r="X497" s="31"/>
      <c r="Y497" s="31"/>
      <c r="Z497" s="31"/>
    </row>
    <row r="498" ht="13.5" customHeight="1">
      <c r="A498" s="34" t="s">
        <v>30</v>
      </c>
      <c r="B498" s="35" t="s">
        <v>31</v>
      </c>
      <c r="C498" s="36">
        <v>44967.0</v>
      </c>
      <c r="D498" s="34" t="s">
        <v>32</v>
      </c>
      <c r="E498" s="35" t="s">
        <v>33</v>
      </c>
      <c r="F498" s="37"/>
      <c r="G498" s="31"/>
      <c r="H498" s="31"/>
      <c r="I498" s="31"/>
      <c r="J498" s="31"/>
      <c r="K498" s="31"/>
      <c r="L498" s="31"/>
      <c r="M498" s="31"/>
      <c r="N498" s="31"/>
      <c r="O498" s="31"/>
      <c r="P498" s="31"/>
      <c r="Q498" s="31"/>
      <c r="R498" s="31"/>
      <c r="S498" s="31"/>
      <c r="T498" s="31"/>
      <c r="U498" s="31"/>
      <c r="V498" s="31"/>
      <c r="W498" s="31"/>
      <c r="X498" s="31"/>
      <c r="Y498" s="31"/>
      <c r="Z498" s="31"/>
    </row>
    <row r="499" ht="13.5" customHeight="1">
      <c r="A499" s="38"/>
      <c r="B499" s="35" t="s">
        <v>34</v>
      </c>
      <c r="C499" s="33">
        <f>IF(C498="","",IF(AND(MONTH(C498)&gt;=1,MONTH(C498)&lt;=3),1,IF(AND(MONTH(C498)&gt;=4,MONTH(C498)&lt;=6),2,IF(AND(MONTH(C498)&gt;=7,MONTH(C498)&lt;=9),3,4))))</f>
        <v>1</v>
      </c>
      <c r="D499" s="38"/>
      <c r="E499" s="35" t="s">
        <v>35</v>
      </c>
      <c r="F499" s="37"/>
      <c r="G499" s="31"/>
      <c r="H499" s="31"/>
      <c r="I499" s="31"/>
      <c r="J499" s="31"/>
      <c r="K499" s="31"/>
      <c r="L499" s="31"/>
      <c r="M499" s="31"/>
      <c r="N499" s="31"/>
      <c r="O499" s="31"/>
      <c r="P499" s="31"/>
      <c r="Q499" s="31"/>
      <c r="R499" s="31"/>
      <c r="S499" s="31"/>
      <c r="T499" s="31"/>
      <c r="U499" s="31"/>
      <c r="V499" s="31"/>
      <c r="W499" s="31"/>
      <c r="X499" s="31"/>
      <c r="Y499" s="31"/>
      <c r="Z499" s="31"/>
    </row>
    <row r="500" ht="13.5" customHeight="1">
      <c r="A500" s="38"/>
      <c r="B500" s="35" t="s">
        <v>36</v>
      </c>
      <c r="C500" s="36">
        <v>44971.0</v>
      </c>
      <c r="D500" s="38"/>
      <c r="E500" s="35" t="s">
        <v>37</v>
      </c>
      <c r="F500" s="37"/>
      <c r="G500" s="31"/>
      <c r="H500" s="31"/>
      <c r="I500" s="31"/>
      <c r="J500" s="31"/>
      <c r="K500" s="31"/>
      <c r="L500" s="31"/>
      <c r="M500" s="31"/>
      <c r="N500" s="31"/>
      <c r="O500" s="31"/>
      <c r="P500" s="31"/>
      <c r="Q500" s="31"/>
      <c r="R500" s="31"/>
      <c r="S500" s="31"/>
      <c r="T500" s="31"/>
      <c r="U500" s="31"/>
      <c r="V500" s="31"/>
      <c r="W500" s="31"/>
      <c r="X500" s="31"/>
      <c r="Y500" s="31"/>
      <c r="Z500" s="31"/>
    </row>
    <row r="501" ht="13.5" customHeight="1">
      <c r="A501" s="39"/>
      <c r="B501" s="35" t="s">
        <v>34</v>
      </c>
      <c r="C501" s="33">
        <f>IF(C500="","",IF(AND(MONTH(C500)&gt;=1,MONTH(C500)&lt;=3),1,IF(AND(MONTH(C500)&gt;=4,MONTH(C500)&lt;=6),2,IF(AND(MONTH(C500)&gt;=7,MONTH(C500)&lt;=9),3,4))))</f>
        <v>1</v>
      </c>
      <c r="D501" s="39"/>
      <c r="E501" s="35" t="s">
        <v>38</v>
      </c>
      <c r="F501" s="37"/>
      <c r="G501" s="31"/>
      <c r="H501" s="31"/>
      <c r="I501" s="31"/>
      <c r="J501" s="31"/>
      <c r="K501" s="31"/>
      <c r="L501" s="31"/>
      <c r="M501" s="31"/>
      <c r="N501" s="31"/>
      <c r="O501" s="31"/>
      <c r="P501" s="31"/>
      <c r="Q501" s="31"/>
      <c r="R501" s="31"/>
      <c r="S501" s="31"/>
      <c r="T501" s="31"/>
      <c r="U501" s="31"/>
      <c r="V501" s="31"/>
      <c r="W501" s="31"/>
      <c r="X501" s="31"/>
      <c r="Y501" s="31"/>
      <c r="Z501" s="31"/>
    </row>
    <row r="502" ht="13.5" customHeight="1">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row>
    <row r="503" ht="13.5" customHeight="1">
      <c r="A503" s="40" t="s">
        <v>39</v>
      </c>
      <c r="B503" s="40" t="s">
        <v>40</v>
      </c>
      <c r="C503" s="40" t="s">
        <v>41</v>
      </c>
      <c r="D503" s="40" t="s">
        <v>42</v>
      </c>
      <c r="E503" s="40" t="s">
        <v>43</v>
      </c>
      <c r="F503" s="40" t="s">
        <v>44</v>
      </c>
      <c r="G503" s="31"/>
      <c r="H503" s="31"/>
      <c r="I503" s="31"/>
      <c r="J503" s="31"/>
      <c r="K503" s="31"/>
      <c r="L503" s="31"/>
      <c r="M503" s="31"/>
      <c r="N503" s="31"/>
      <c r="O503" s="31"/>
      <c r="P503" s="31"/>
      <c r="Q503" s="31"/>
      <c r="R503" s="31"/>
      <c r="S503" s="31"/>
      <c r="T503" s="31"/>
      <c r="U503" s="31"/>
      <c r="V503" s="31"/>
      <c r="W503" s="31"/>
      <c r="X503" s="31"/>
      <c r="Y503" s="31"/>
      <c r="Z503" s="31"/>
    </row>
    <row r="504" ht="13.5" customHeight="1">
      <c r="A504" s="41" t="s">
        <v>213</v>
      </c>
      <c r="B504" s="41" t="str">
        <f t="array" ref="B504">IFERROR(INDEX(#REF!,MATCH(INDIRECT(ADDRESS(ROW(),COLUMN()-1,4)),#REF!,0)),IF(INDIRECT(ADDRESS(ROW(),COLUMN()-1,4))="49101705","Certificados",""))</f>
        <v>Certificados</v>
      </c>
      <c r="C504" s="42" t="str">
        <f t="shared" ref="C504:C505" si="68">IFERROR(VLOOKUP("UD",'Informacion '!P:Q,2,FALSE),"")</f>
        <v/>
      </c>
      <c r="D504" s="41">
        <v>8.0</v>
      </c>
      <c r="E504" s="43">
        <v>3250.0</v>
      </c>
      <c r="F504" s="43">
        <f t="shared" ref="F504:F505" si="69">INDIRECT(ADDRESS(ROW(),COLUMN()-2,4))*INDIRECT(ADDRESS(ROW(),COLUMN()-1,4))</f>
        <v>26000</v>
      </c>
      <c r="G504" s="31"/>
      <c r="H504" s="31"/>
      <c r="I504" s="31"/>
      <c r="J504" s="31"/>
      <c r="K504" s="31"/>
      <c r="L504" s="31"/>
      <c r="M504" s="31"/>
      <c r="N504" s="31"/>
      <c r="O504" s="31"/>
      <c r="P504" s="31"/>
      <c r="Q504" s="31"/>
      <c r="R504" s="31"/>
      <c r="S504" s="31"/>
      <c r="T504" s="31"/>
      <c r="U504" s="31"/>
      <c r="V504" s="31"/>
      <c r="W504" s="31"/>
      <c r="X504" s="31"/>
      <c r="Y504" s="31"/>
      <c r="Z504" s="31"/>
    </row>
    <row r="505" ht="13.5" customHeight="1">
      <c r="A505" s="41" t="s">
        <v>214</v>
      </c>
      <c r="B505" s="41" t="str">
        <f t="array" ref="B505">IFERROR(INDEX(#REF!,MATCH(INDIRECT(ADDRESS(ROW(),COLUMN()-1,4)),#REF!,0)),IF(INDIRECT(ADDRESS(ROW(),COLUMN()-1,4))="60103503","Guías de referencia del gobierno",""))</f>
        <v>Guías de referencia del gobierno</v>
      </c>
      <c r="C505" s="42" t="str">
        <f t="shared" si="68"/>
        <v/>
      </c>
      <c r="D505" s="41">
        <v>8.0</v>
      </c>
      <c r="E505" s="43">
        <v>2500.0</v>
      </c>
      <c r="F505" s="43">
        <f t="shared" si="69"/>
        <v>20000</v>
      </c>
      <c r="G505" s="31"/>
      <c r="H505" s="31"/>
      <c r="I505" s="31"/>
      <c r="J505" s="31"/>
      <c r="K505" s="31"/>
      <c r="L505" s="31"/>
      <c r="M505" s="31"/>
      <c r="N505" s="31"/>
      <c r="O505" s="31"/>
      <c r="P505" s="31"/>
      <c r="Q505" s="31"/>
      <c r="R505" s="31"/>
      <c r="S505" s="31"/>
      <c r="T505" s="31"/>
      <c r="U505" s="31"/>
      <c r="V505" s="31"/>
      <c r="W505" s="31"/>
      <c r="X505" s="31"/>
      <c r="Y505" s="31"/>
      <c r="Z505" s="31"/>
    </row>
    <row r="506" ht="13.5" customHeight="1">
      <c r="A506" s="31"/>
      <c r="B506" s="31"/>
      <c r="C506" s="31"/>
      <c r="D506" s="31"/>
      <c r="E506" s="44" t="s">
        <v>63</v>
      </c>
      <c r="F506" s="45">
        <f>SUM(PACC!$F$504:$F$505)</f>
        <v>46000</v>
      </c>
      <c r="G506" s="31"/>
      <c r="H506" s="31" t="str">
        <f>C497</f>
        <v>Bienes</v>
      </c>
      <c r="I506" s="31" t="str">
        <f>E497</f>
        <v>No</v>
      </c>
      <c r="J506" s="31" t="str">
        <f>D497</f>
        <v>Compras por debajo del Umbral</v>
      </c>
      <c r="K506" s="31"/>
      <c r="L506" s="31"/>
      <c r="M506" s="31"/>
      <c r="N506" s="31"/>
      <c r="O506" s="31"/>
      <c r="P506" s="31"/>
      <c r="Q506" s="31"/>
      <c r="R506" s="31"/>
      <c r="S506" s="31"/>
      <c r="T506" s="31"/>
      <c r="U506" s="31"/>
      <c r="V506" s="31"/>
      <c r="W506" s="31"/>
      <c r="X506" s="31"/>
      <c r="Y506" s="31"/>
      <c r="Z506" s="31"/>
    </row>
    <row r="507" ht="13.5" customHeight="1">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row>
    <row r="508" ht="33.75" customHeight="1">
      <c r="A508" s="32" t="s">
        <v>19</v>
      </c>
      <c r="B508" s="32" t="s">
        <v>20</v>
      </c>
      <c r="C508" s="32" t="s">
        <v>21</v>
      </c>
      <c r="D508" s="32" t="s">
        <v>22</v>
      </c>
      <c r="E508" s="32" t="s">
        <v>23</v>
      </c>
      <c r="F508" s="32" t="s">
        <v>24</v>
      </c>
      <c r="G508" s="31"/>
      <c r="H508" s="31"/>
      <c r="I508" s="31"/>
      <c r="J508" s="31"/>
      <c r="K508" s="31"/>
      <c r="L508" s="31"/>
      <c r="M508" s="31"/>
      <c r="N508" s="31"/>
      <c r="O508" s="31"/>
      <c r="P508" s="31"/>
      <c r="Q508" s="31"/>
      <c r="R508" s="31"/>
      <c r="S508" s="31"/>
      <c r="T508" s="31"/>
      <c r="U508" s="31"/>
      <c r="V508" s="31"/>
      <c r="W508" s="31"/>
      <c r="X508" s="31"/>
      <c r="Y508" s="31"/>
      <c r="Z508" s="31"/>
    </row>
    <row r="509" ht="13.5" customHeight="1">
      <c r="A509" s="33" t="s">
        <v>215</v>
      </c>
      <c r="B509" s="33" t="s">
        <v>216</v>
      </c>
      <c r="C509" s="33" t="s">
        <v>27</v>
      </c>
      <c r="D509" s="33" t="s">
        <v>124</v>
      </c>
      <c r="E509" s="33" t="s">
        <v>67</v>
      </c>
      <c r="F509" s="33"/>
      <c r="G509" s="31"/>
      <c r="H509" s="31"/>
      <c r="I509" s="31"/>
      <c r="J509" s="31"/>
      <c r="K509" s="31"/>
      <c r="L509" s="31"/>
      <c r="M509" s="31"/>
      <c r="N509" s="31"/>
      <c r="O509" s="31"/>
      <c r="P509" s="31"/>
      <c r="Q509" s="31"/>
      <c r="R509" s="31"/>
      <c r="S509" s="31"/>
      <c r="T509" s="31"/>
      <c r="U509" s="31"/>
      <c r="V509" s="31"/>
      <c r="W509" s="31"/>
      <c r="X509" s="31"/>
      <c r="Y509" s="31"/>
      <c r="Z509" s="31"/>
    </row>
    <row r="510" ht="13.5" customHeight="1">
      <c r="A510" s="34" t="s">
        <v>30</v>
      </c>
      <c r="B510" s="35" t="s">
        <v>31</v>
      </c>
      <c r="C510" s="36">
        <v>45215.0</v>
      </c>
      <c r="D510" s="34" t="s">
        <v>32</v>
      </c>
      <c r="E510" s="35" t="s">
        <v>33</v>
      </c>
      <c r="F510" s="37"/>
      <c r="G510" s="31"/>
      <c r="H510" s="31"/>
      <c r="I510" s="31"/>
      <c r="J510" s="31"/>
      <c r="K510" s="31"/>
      <c r="L510" s="31"/>
      <c r="M510" s="31"/>
      <c r="N510" s="31"/>
      <c r="O510" s="31"/>
      <c r="P510" s="31"/>
      <c r="Q510" s="31"/>
      <c r="R510" s="31"/>
      <c r="S510" s="31"/>
      <c r="T510" s="31"/>
      <c r="U510" s="31"/>
      <c r="V510" s="31"/>
      <c r="W510" s="31"/>
      <c r="X510" s="31"/>
      <c r="Y510" s="31"/>
      <c r="Z510" s="31"/>
    </row>
    <row r="511" ht="13.5" customHeight="1">
      <c r="A511" s="38"/>
      <c r="B511" s="35" t="s">
        <v>34</v>
      </c>
      <c r="C511" s="33">
        <f>IF(C510="","",IF(AND(MONTH(C510)&gt;=1,MONTH(C510)&lt;=3),1,IF(AND(MONTH(C510)&gt;=4,MONTH(C510)&lt;=6),2,IF(AND(MONTH(C510)&gt;=7,MONTH(C510)&lt;=9),3,4))))</f>
        <v>4</v>
      </c>
      <c r="D511" s="38"/>
      <c r="E511" s="35" t="s">
        <v>35</v>
      </c>
      <c r="F511" s="37"/>
      <c r="G511" s="31"/>
      <c r="H511" s="31"/>
      <c r="I511" s="31"/>
      <c r="J511" s="31"/>
      <c r="K511" s="31"/>
      <c r="L511" s="31"/>
      <c r="M511" s="31"/>
      <c r="N511" s="31"/>
      <c r="O511" s="31"/>
      <c r="P511" s="31"/>
      <c r="Q511" s="31"/>
      <c r="R511" s="31"/>
      <c r="S511" s="31"/>
      <c r="T511" s="31"/>
      <c r="U511" s="31"/>
      <c r="V511" s="31"/>
      <c r="W511" s="31"/>
      <c r="X511" s="31"/>
      <c r="Y511" s="31"/>
      <c r="Z511" s="31"/>
    </row>
    <row r="512" ht="13.5" customHeight="1">
      <c r="A512" s="38"/>
      <c r="B512" s="35" t="s">
        <v>36</v>
      </c>
      <c r="C512" s="36">
        <v>45217.0</v>
      </c>
      <c r="D512" s="38"/>
      <c r="E512" s="35" t="s">
        <v>37</v>
      </c>
      <c r="F512" s="37"/>
      <c r="G512" s="31"/>
      <c r="H512" s="31"/>
      <c r="I512" s="31"/>
      <c r="J512" s="31"/>
      <c r="K512" s="31"/>
      <c r="L512" s="31"/>
      <c r="M512" s="31"/>
      <c r="N512" s="31"/>
      <c r="O512" s="31"/>
      <c r="P512" s="31"/>
      <c r="Q512" s="31"/>
      <c r="R512" s="31"/>
      <c r="S512" s="31"/>
      <c r="T512" s="31"/>
      <c r="U512" s="31"/>
      <c r="V512" s="31"/>
      <c r="W512" s="31"/>
      <c r="X512" s="31"/>
      <c r="Y512" s="31"/>
      <c r="Z512" s="31"/>
    </row>
    <row r="513" ht="13.5" customHeight="1">
      <c r="A513" s="39"/>
      <c r="B513" s="35" t="s">
        <v>34</v>
      </c>
      <c r="C513" s="33">
        <f>IF(C512="","",IF(AND(MONTH(C512)&gt;=1,MONTH(C512)&lt;=3),1,IF(AND(MONTH(C512)&gt;=4,MONTH(C512)&lt;=6),2,IF(AND(MONTH(C512)&gt;=7,MONTH(C512)&lt;=9),3,4))))</f>
        <v>4</v>
      </c>
      <c r="D513" s="39"/>
      <c r="E513" s="35" t="s">
        <v>38</v>
      </c>
      <c r="F513" s="37"/>
      <c r="G513" s="31"/>
      <c r="H513" s="31"/>
      <c r="I513" s="31"/>
      <c r="J513" s="31"/>
      <c r="K513" s="31"/>
      <c r="L513" s="31"/>
      <c r="M513" s="31"/>
      <c r="N513" s="31"/>
      <c r="O513" s="31"/>
      <c r="P513" s="31"/>
      <c r="Q513" s="31"/>
      <c r="R513" s="31"/>
      <c r="S513" s="31"/>
      <c r="T513" s="31"/>
      <c r="U513" s="31"/>
      <c r="V513" s="31"/>
      <c r="W513" s="31"/>
      <c r="X513" s="31"/>
      <c r="Y513" s="31"/>
      <c r="Z513" s="31"/>
    </row>
    <row r="514" ht="13.5" customHeight="1">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row>
    <row r="515" ht="13.5" customHeight="1">
      <c r="A515" s="40" t="s">
        <v>39</v>
      </c>
      <c r="B515" s="40" t="s">
        <v>40</v>
      </c>
      <c r="C515" s="40" t="s">
        <v>41</v>
      </c>
      <c r="D515" s="40" t="s">
        <v>42</v>
      </c>
      <c r="E515" s="40" t="s">
        <v>43</v>
      </c>
      <c r="F515" s="40" t="s">
        <v>44</v>
      </c>
      <c r="G515" s="31"/>
      <c r="H515" s="31"/>
      <c r="I515" s="31"/>
      <c r="J515" s="31"/>
      <c r="K515" s="31"/>
      <c r="L515" s="31"/>
      <c r="M515" s="31"/>
      <c r="N515" s="31"/>
      <c r="O515" s="31"/>
      <c r="P515" s="31"/>
      <c r="Q515" s="31"/>
      <c r="R515" s="31"/>
      <c r="S515" s="31"/>
      <c r="T515" s="31"/>
      <c r="U515" s="31"/>
      <c r="V515" s="31"/>
      <c r="W515" s="31"/>
      <c r="X515" s="31"/>
      <c r="Y515" s="31"/>
      <c r="Z515" s="31"/>
    </row>
    <row r="516" ht="13.5" customHeight="1">
      <c r="A516" s="41" t="s">
        <v>217</v>
      </c>
      <c r="B516" s="41" t="str">
        <f t="array" ref="B516">IFERROR(INDEX(#REF!,MATCH(INDIRECT(ADDRESS(ROW(),COLUMN()-1,4)),#REF!,0)),IF(INDIRECT(ADDRESS(ROW(),COLUMN()-1,4))="60123202","Cintas de seda",""))</f>
        <v>Cintas de seda</v>
      </c>
      <c r="C516" s="42" t="str">
        <f t="shared" ref="C516:C519" si="70">IFERROR(VLOOKUP("UD",'Informacion '!P:Q,2,FALSE),"")</f>
        <v/>
      </c>
      <c r="D516" s="41">
        <v>40.0</v>
      </c>
      <c r="E516" s="43">
        <v>500.0</v>
      </c>
      <c r="F516" s="43">
        <f t="shared" ref="F516:F519" si="71">INDIRECT(ADDRESS(ROW(),COLUMN()-2,4))*INDIRECT(ADDRESS(ROW(),COLUMN()-1,4))</f>
        <v>20000</v>
      </c>
      <c r="G516" s="31"/>
      <c r="H516" s="31"/>
      <c r="I516" s="31"/>
      <c r="J516" s="31"/>
      <c r="K516" s="31"/>
      <c r="L516" s="31"/>
      <c r="M516" s="31"/>
      <c r="N516" s="31"/>
      <c r="O516" s="31"/>
      <c r="P516" s="31"/>
      <c r="Q516" s="31"/>
      <c r="R516" s="31"/>
      <c r="S516" s="31"/>
      <c r="T516" s="31"/>
      <c r="U516" s="31"/>
      <c r="V516" s="31"/>
      <c r="W516" s="31"/>
      <c r="X516" s="31"/>
      <c r="Y516" s="31"/>
      <c r="Z516" s="31"/>
    </row>
    <row r="517" ht="13.5" customHeight="1">
      <c r="A517" s="41" t="s">
        <v>218</v>
      </c>
      <c r="B517" s="41" t="str">
        <f t="array" ref="B517">IFERROR(INDEX(#REF!,MATCH(INDIRECT(ADDRESS(ROW(),COLUMN()-1,4)),#REF!,0)),IF(INDIRECT(ADDRESS(ROW(),COLUMN()-1,4))="40142116","Tubería de goma",""))</f>
        <v>Tubería de goma</v>
      </c>
      <c r="C517" s="42" t="str">
        <f t="shared" si="70"/>
        <v/>
      </c>
      <c r="D517" s="41">
        <v>20.0</v>
      </c>
      <c r="E517" s="43">
        <v>500.0</v>
      </c>
      <c r="F517" s="43">
        <f t="shared" si="71"/>
        <v>10000</v>
      </c>
      <c r="G517" s="31"/>
      <c r="H517" s="31"/>
      <c r="I517" s="31"/>
      <c r="J517" s="31"/>
      <c r="K517" s="31"/>
      <c r="L517" s="31"/>
      <c r="M517" s="31"/>
      <c r="N517" s="31"/>
      <c r="O517" s="31"/>
      <c r="P517" s="31"/>
      <c r="Q517" s="31"/>
      <c r="R517" s="31"/>
      <c r="S517" s="31"/>
      <c r="T517" s="31"/>
      <c r="U517" s="31"/>
      <c r="V517" s="31"/>
      <c r="W517" s="31"/>
      <c r="X517" s="31"/>
      <c r="Y517" s="31"/>
      <c r="Z517" s="31"/>
    </row>
    <row r="518" ht="13.5" customHeight="1">
      <c r="A518" s="41" t="s">
        <v>219</v>
      </c>
      <c r="B518" s="41" t="str">
        <f t="array" ref="B518">IFERROR(INDEX(#REF!,MATCH(INDIRECT(ADDRESS(ROW(),COLUMN()-1,4)),#REF!,0)),IF(INDIRECT(ADDRESS(ROW(),COLUMN()-1,4))="53121608","Bolsas para compras",""))</f>
        <v>Bolsas para compras</v>
      </c>
      <c r="C518" s="42" t="str">
        <f t="shared" si="70"/>
        <v/>
      </c>
      <c r="D518" s="41">
        <v>20.0</v>
      </c>
      <c r="E518" s="43">
        <v>500.0</v>
      </c>
      <c r="F518" s="43">
        <f t="shared" si="71"/>
        <v>10000</v>
      </c>
      <c r="G518" s="31"/>
      <c r="H518" s="31"/>
      <c r="I518" s="31"/>
      <c r="J518" s="31"/>
      <c r="K518" s="31"/>
      <c r="L518" s="31"/>
      <c r="M518" s="31"/>
      <c r="N518" s="31"/>
      <c r="O518" s="31"/>
      <c r="P518" s="31"/>
      <c r="Q518" s="31"/>
      <c r="R518" s="31"/>
      <c r="S518" s="31"/>
      <c r="T518" s="31"/>
      <c r="U518" s="31"/>
      <c r="V518" s="31"/>
      <c r="W518" s="31"/>
      <c r="X518" s="31"/>
      <c r="Y518" s="31"/>
      <c r="Z518" s="31"/>
    </row>
    <row r="519" ht="13.5" customHeight="1">
      <c r="A519" s="41" t="s">
        <v>220</v>
      </c>
      <c r="B519" s="41" t="str">
        <f t="array" ref="B519">IFERROR(INDEX(#REF!,MATCH(INDIRECT(ADDRESS(ROW(),COLUMN()-1,4)),#REF!,0)),IF(INDIRECT(ADDRESS(ROW(),COLUMN()-1,4))="24112109","Tambores no metálicos",""))</f>
        <v>Tambores no metálicos</v>
      </c>
      <c r="C519" s="42" t="str">
        <f t="shared" si="70"/>
        <v/>
      </c>
      <c r="D519" s="41">
        <v>1.0</v>
      </c>
      <c r="E519" s="43">
        <v>1000.0</v>
      </c>
      <c r="F519" s="43">
        <f t="shared" si="71"/>
        <v>1000</v>
      </c>
      <c r="G519" s="31"/>
      <c r="H519" s="31"/>
      <c r="I519" s="31"/>
      <c r="J519" s="31"/>
      <c r="K519" s="31"/>
      <c r="L519" s="31"/>
      <c r="M519" s="31"/>
      <c r="N519" s="31"/>
      <c r="O519" s="31"/>
      <c r="P519" s="31"/>
      <c r="Q519" s="31"/>
      <c r="R519" s="31"/>
      <c r="S519" s="31"/>
      <c r="T519" s="31"/>
      <c r="U519" s="31"/>
      <c r="V519" s="31"/>
      <c r="W519" s="31"/>
      <c r="X519" s="31"/>
      <c r="Y519" s="31"/>
      <c r="Z519" s="31"/>
    </row>
    <row r="520" ht="13.5" customHeight="1">
      <c r="A520" s="31"/>
      <c r="B520" s="31"/>
      <c r="C520" s="31"/>
      <c r="D520" s="31"/>
      <c r="E520" s="44" t="s">
        <v>63</v>
      </c>
      <c r="F520" s="45">
        <f>SUM(PACC!$F$516:$F$519)</f>
        <v>41000</v>
      </c>
      <c r="G520" s="31"/>
      <c r="H520" s="31" t="str">
        <f>C509</f>
        <v>Bienes</v>
      </c>
      <c r="I520" s="31" t="str">
        <f>E509</f>
        <v>No</v>
      </c>
      <c r="J520" s="31" t="str">
        <f>D509</f>
        <v>Compras por debajo del Umbral</v>
      </c>
      <c r="K520" s="31"/>
      <c r="L520" s="31"/>
      <c r="M520" s="31"/>
      <c r="N520" s="31"/>
      <c r="O520" s="31"/>
      <c r="P520" s="31"/>
      <c r="Q520" s="31"/>
      <c r="R520" s="31"/>
      <c r="S520" s="31"/>
      <c r="T520" s="31"/>
      <c r="U520" s="31"/>
      <c r="V520" s="31"/>
      <c r="W520" s="31"/>
      <c r="X520" s="31"/>
      <c r="Y520" s="31"/>
      <c r="Z520" s="31"/>
    </row>
    <row r="521" ht="13.5" customHeight="1">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row>
    <row r="522" ht="33.75" customHeight="1">
      <c r="A522" s="32" t="s">
        <v>19</v>
      </c>
      <c r="B522" s="32" t="s">
        <v>20</v>
      </c>
      <c r="C522" s="32" t="s">
        <v>21</v>
      </c>
      <c r="D522" s="32" t="s">
        <v>22</v>
      </c>
      <c r="E522" s="32" t="s">
        <v>23</v>
      </c>
      <c r="F522" s="32" t="s">
        <v>24</v>
      </c>
      <c r="G522" s="31"/>
      <c r="H522" s="31"/>
      <c r="I522" s="31"/>
      <c r="J522" s="31"/>
      <c r="K522" s="31"/>
      <c r="L522" s="31"/>
      <c r="M522" s="31"/>
      <c r="N522" s="31"/>
      <c r="O522" s="31"/>
      <c r="P522" s="31"/>
      <c r="Q522" s="31"/>
      <c r="R522" s="31"/>
      <c r="S522" s="31"/>
      <c r="T522" s="31"/>
      <c r="U522" s="31"/>
      <c r="V522" s="31"/>
      <c r="W522" s="31"/>
      <c r="X522" s="31"/>
      <c r="Y522" s="31"/>
      <c r="Z522" s="31"/>
    </row>
    <row r="523" ht="13.5" customHeight="1">
      <c r="A523" s="33" t="s">
        <v>221</v>
      </c>
      <c r="B523" s="33" t="s">
        <v>222</v>
      </c>
      <c r="C523" s="33" t="s">
        <v>27</v>
      </c>
      <c r="D523" s="33" t="s">
        <v>116</v>
      </c>
      <c r="E523" s="33" t="s">
        <v>67</v>
      </c>
      <c r="F523" s="33"/>
      <c r="G523" s="31"/>
      <c r="H523" s="31"/>
      <c r="I523" s="31"/>
      <c r="J523" s="31"/>
      <c r="K523" s="31"/>
      <c r="L523" s="31"/>
      <c r="M523" s="31"/>
      <c r="N523" s="31"/>
      <c r="O523" s="31"/>
      <c r="P523" s="31"/>
      <c r="Q523" s="31"/>
      <c r="R523" s="31"/>
      <c r="S523" s="31"/>
      <c r="T523" s="31"/>
      <c r="U523" s="31"/>
      <c r="V523" s="31"/>
      <c r="W523" s="31"/>
      <c r="X523" s="31"/>
      <c r="Y523" s="31"/>
      <c r="Z523" s="31"/>
    </row>
    <row r="524" ht="13.5" customHeight="1">
      <c r="A524" s="34" t="s">
        <v>30</v>
      </c>
      <c r="B524" s="35" t="s">
        <v>31</v>
      </c>
      <c r="C524" s="36">
        <v>45156.0</v>
      </c>
      <c r="D524" s="34" t="s">
        <v>32</v>
      </c>
      <c r="E524" s="35" t="s">
        <v>33</v>
      </c>
      <c r="F524" s="37"/>
      <c r="G524" s="31"/>
      <c r="H524" s="31"/>
      <c r="I524" s="31"/>
      <c r="J524" s="31"/>
      <c r="K524" s="31"/>
      <c r="L524" s="31"/>
      <c r="M524" s="31"/>
      <c r="N524" s="31"/>
      <c r="O524" s="31"/>
      <c r="P524" s="31"/>
      <c r="Q524" s="31"/>
      <c r="R524" s="31"/>
      <c r="S524" s="31"/>
      <c r="T524" s="31"/>
      <c r="U524" s="31"/>
      <c r="V524" s="31"/>
      <c r="W524" s="31"/>
      <c r="X524" s="31"/>
      <c r="Y524" s="31"/>
      <c r="Z524" s="31"/>
    </row>
    <row r="525" ht="13.5" customHeight="1">
      <c r="A525" s="38"/>
      <c r="B525" s="35" t="s">
        <v>34</v>
      </c>
      <c r="C525" s="33">
        <f>IF(C524="","",IF(AND(MONTH(C524)&gt;=1,MONTH(C524)&lt;=3),1,IF(AND(MONTH(C524)&gt;=4,MONTH(C524)&lt;=6),2,IF(AND(MONTH(C524)&gt;=7,MONTH(C524)&lt;=9),3,4))))</f>
        <v>3</v>
      </c>
      <c r="D525" s="38"/>
      <c r="E525" s="35" t="s">
        <v>35</v>
      </c>
      <c r="F525" s="37"/>
      <c r="G525" s="31"/>
      <c r="H525" s="31"/>
      <c r="I525" s="31"/>
      <c r="J525" s="31"/>
      <c r="K525" s="31"/>
      <c r="L525" s="31"/>
      <c r="M525" s="31"/>
      <c r="N525" s="31"/>
      <c r="O525" s="31"/>
      <c r="P525" s="31"/>
      <c r="Q525" s="31"/>
      <c r="R525" s="31"/>
      <c r="S525" s="31"/>
      <c r="T525" s="31"/>
      <c r="U525" s="31"/>
      <c r="V525" s="31"/>
      <c r="W525" s="31"/>
      <c r="X525" s="31"/>
      <c r="Y525" s="31"/>
      <c r="Z525" s="31"/>
    </row>
    <row r="526" ht="13.5" customHeight="1">
      <c r="A526" s="38"/>
      <c r="B526" s="35" t="s">
        <v>36</v>
      </c>
      <c r="C526" s="36">
        <v>45168.0</v>
      </c>
      <c r="D526" s="38"/>
      <c r="E526" s="35" t="s">
        <v>37</v>
      </c>
      <c r="F526" s="37"/>
      <c r="G526" s="31"/>
      <c r="H526" s="31"/>
      <c r="I526" s="31"/>
      <c r="J526" s="31"/>
      <c r="K526" s="31"/>
      <c r="L526" s="31"/>
      <c r="M526" s="31"/>
      <c r="N526" s="31"/>
      <c r="O526" s="31"/>
      <c r="P526" s="31"/>
      <c r="Q526" s="31"/>
      <c r="R526" s="31"/>
      <c r="S526" s="31"/>
      <c r="T526" s="31"/>
      <c r="U526" s="31"/>
      <c r="V526" s="31"/>
      <c r="W526" s="31"/>
      <c r="X526" s="31"/>
      <c r="Y526" s="31"/>
      <c r="Z526" s="31"/>
    </row>
    <row r="527" ht="13.5" customHeight="1">
      <c r="A527" s="39"/>
      <c r="B527" s="35" t="s">
        <v>34</v>
      </c>
      <c r="C527" s="33">
        <f>IF(C526="","",IF(AND(MONTH(C526)&gt;=1,MONTH(C526)&lt;=3),1,IF(AND(MONTH(C526)&gt;=4,MONTH(C526)&lt;=6),2,IF(AND(MONTH(C526)&gt;=7,MONTH(C526)&lt;=9),3,4))))</f>
        <v>3</v>
      </c>
      <c r="D527" s="39"/>
      <c r="E527" s="35" t="s">
        <v>38</v>
      </c>
      <c r="F527" s="37"/>
      <c r="G527" s="31"/>
      <c r="H527" s="31"/>
      <c r="I527" s="31"/>
      <c r="J527" s="31"/>
      <c r="K527" s="31"/>
      <c r="L527" s="31"/>
      <c r="M527" s="31"/>
      <c r="N527" s="31"/>
      <c r="O527" s="31"/>
      <c r="P527" s="31"/>
      <c r="Q527" s="31"/>
      <c r="R527" s="31"/>
      <c r="S527" s="31"/>
      <c r="T527" s="31"/>
      <c r="U527" s="31"/>
      <c r="V527" s="31"/>
      <c r="W527" s="31"/>
      <c r="X527" s="31"/>
      <c r="Y527" s="31"/>
      <c r="Z527" s="31"/>
    </row>
    <row r="528" ht="13.5" customHeight="1">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row>
    <row r="529" ht="13.5" customHeight="1">
      <c r="A529" s="40" t="s">
        <v>39</v>
      </c>
      <c r="B529" s="40" t="s">
        <v>40</v>
      </c>
      <c r="C529" s="40" t="s">
        <v>41</v>
      </c>
      <c r="D529" s="40" t="s">
        <v>42</v>
      </c>
      <c r="E529" s="40" t="s">
        <v>43</v>
      </c>
      <c r="F529" s="40" t="s">
        <v>44</v>
      </c>
      <c r="G529" s="31"/>
      <c r="H529" s="31"/>
      <c r="I529" s="31"/>
      <c r="J529" s="31"/>
      <c r="K529" s="31"/>
      <c r="L529" s="31"/>
      <c r="M529" s="31"/>
      <c r="N529" s="31"/>
      <c r="O529" s="31"/>
      <c r="P529" s="31"/>
      <c r="Q529" s="31"/>
      <c r="R529" s="31"/>
      <c r="S529" s="31"/>
      <c r="T529" s="31"/>
      <c r="U529" s="31"/>
      <c r="V529" s="31"/>
      <c r="W529" s="31"/>
      <c r="X529" s="31"/>
      <c r="Y529" s="31"/>
      <c r="Z529" s="31"/>
    </row>
    <row r="530" ht="13.5" customHeight="1">
      <c r="A530" s="41" t="s">
        <v>223</v>
      </c>
      <c r="B530" s="41" t="str">
        <f t="array" ref="B530">IFERROR(INDEX(#REF!,MATCH(INDIRECT(ADDRESS(ROW(),COLUMN()-1,4)),#REF!,0)),IF(INDIRECT(ADDRESS(ROW(),COLUMN()-1,4))="55121503","Etiquetas de identificación",""))</f>
        <v>Etiquetas de identificación</v>
      </c>
      <c r="C530" s="42" t="str">
        <f>IFERROR(VLOOKUP("UD",'Informacion '!P:Q,2,FALSE),"")</f>
        <v/>
      </c>
      <c r="D530" s="41">
        <v>100.0</v>
      </c>
      <c r="E530" s="43">
        <v>2000.0</v>
      </c>
      <c r="F530" s="43">
        <f>INDIRECT(ADDRESS(ROW(),COLUMN()-2,4))*INDIRECT(ADDRESS(ROW(),COLUMN()-1,4))</f>
        <v>200000</v>
      </c>
      <c r="G530" s="31"/>
      <c r="H530" s="31"/>
      <c r="I530" s="31"/>
      <c r="J530" s="31"/>
      <c r="K530" s="31"/>
      <c r="L530" s="31"/>
      <c r="M530" s="31"/>
      <c r="N530" s="31"/>
      <c r="O530" s="31"/>
      <c r="P530" s="31"/>
      <c r="Q530" s="31"/>
      <c r="R530" s="31"/>
      <c r="S530" s="31"/>
      <c r="T530" s="31"/>
      <c r="U530" s="31"/>
      <c r="V530" s="31"/>
      <c r="W530" s="31"/>
      <c r="X530" s="31"/>
      <c r="Y530" s="31"/>
      <c r="Z530" s="31"/>
    </row>
    <row r="531" ht="13.5" customHeight="1">
      <c r="A531" s="31"/>
      <c r="B531" s="31"/>
      <c r="C531" s="31"/>
      <c r="D531" s="31"/>
      <c r="E531" s="44" t="s">
        <v>63</v>
      </c>
      <c r="F531" s="45">
        <f>SUM(PACC!$F$530)</f>
        <v>200000</v>
      </c>
      <c r="G531" s="31"/>
      <c r="H531" s="31" t="str">
        <f>C523</f>
        <v>Bienes</v>
      </c>
      <c r="I531" s="31" t="str">
        <f>E523</f>
        <v>No</v>
      </c>
      <c r="J531" s="31" t="str">
        <f>D523</f>
        <v>Compras Menores</v>
      </c>
      <c r="K531" s="31"/>
      <c r="L531" s="31"/>
      <c r="M531" s="31"/>
      <c r="N531" s="31"/>
      <c r="O531" s="31"/>
      <c r="P531" s="31"/>
      <c r="Q531" s="31"/>
      <c r="R531" s="31"/>
      <c r="S531" s="31"/>
      <c r="T531" s="31"/>
      <c r="U531" s="31"/>
      <c r="V531" s="31"/>
      <c r="W531" s="31"/>
      <c r="X531" s="31"/>
      <c r="Y531" s="31"/>
      <c r="Z531" s="31"/>
    </row>
    <row r="532" ht="13.5" customHeight="1">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row>
    <row r="533" ht="33.75" customHeight="1">
      <c r="A533" s="32" t="s">
        <v>19</v>
      </c>
      <c r="B533" s="32" t="s">
        <v>20</v>
      </c>
      <c r="C533" s="32" t="s">
        <v>21</v>
      </c>
      <c r="D533" s="32" t="s">
        <v>22</v>
      </c>
      <c r="E533" s="32" t="s">
        <v>23</v>
      </c>
      <c r="F533" s="32" t="s">
        <v>24</v>
      </c>
      <c r="G533" s="31"/>
      <c r="H533" s="31"/>
      <c r="I533" s="31"/>
      <c r="J533" s="31"/>
      <c r="K533" s="31"/>
      <c r="L533" s="31"/>
      <c r="M533" s="31"/>
      <c r="N533" s="31"/>
      <c r="O533" s="31"/>
      <c r="P533" s="31"/>
      <c r="Q533" s="31"/>
      <c r="R533" s="31"/>
      <c r="S533" s="31"/>
      <c r="T533" s="31"/>
      <c r="U533" s="31"/>
      <c r="V533" s="31"/>
      <c r="W533" s="31"/>
      <c r="X533" s="31"/>
      <c r="Y533" s="31"/>
      <c r="Z533" s="31"/>
    </row>
    <row r="534" ht="13.5" customHeight="1">
      <c r="A534" s="33" t="s">
        <v>224</v>
      </c>
      <c r="B534" s="33" t="s">
        <v>225</v>
      </c>
      <c r="C534" s="33" t="s">
        <v>27</v>
      </c>
      <c r="D534" s="33" t="s">
        <v>124</v>
      </c>
      <c r="E534" s="33" t="s">
        <v>67</v>
      </c>
      <c r="F534" s="33"/>
      <c r="G534" s="31"/>
      <c r="H534" s="31"/>
      <c r="I534" s="31"/>
      <c r="J534" s="31"/>
      <c r="K534" s="31"/>
      <c r="L534" s="31"/>
      <c r="M534" s="31"/>
      <c r="N534" s="31"/>
      <c r="O534" s="31"/>
      <c r="P534" s="31"/>
      <c r="Q534" s="31"/>
      <c r="R534" s="31"/>
      <c r="S534" s="31"/>
      <c r="T534" s="31"/>
      <c r="U534" s="31"/>
      <c r="V534" s="31"/>
      <c r="W534" s="31"/>
      <c r="X534" s="31"/>
      <c r="Y534" s="31"/>
      <c r="Z534" s="31"/>
    </row>
    <row r="535" ht="13.5" customHeight="1">
      <c r="A535" s="34" t="s">
        <v>30</v>
      </c>
      <c r="B535" s="35" t="s">
        <v>31</v>
      </c>
      <c r="C535" s="36">
        <v>45033.0</v>
      </c>
      <c r="D535" s="34" t="s">
        <v>32</v>
      </c>
      <c r="E535" s="35" t="s">
        <v>33</v>
      </c>
      <c r="F535" s="37"/>
      <c r="G535" s="31"/>
      <c r="H535" s="31"/>
      <c r="I535" s="31"/>
      <c r="J535" s="31"/>
      <c r="K535" s="31"/>
      <c r="L535" s="31"/>
      <c r="M535" s="31"/>
      <c r="N535" s="31"/>
      <c r="O535" s="31"/>
      <c r="P535" s="31"/>
      <c r="Q535" s="31"/>
      <c r="R535" s="31"/>
      <c r="S535" s="31"/>
      <c r="T535" s="31"/>
      <c r="U535" s="31"/>
      <c r="V535" s="31"/>
      <c r="W535" s="31"/>
      <c r="X535" s="31"/>
      <c r="Y535" s="31"/>
      <c r="Z535" s="31"/>
    </row>
    <row r="536" ht="13.5" customHeight="1">
      <c r="A536" s="38"/>
      <c r="B536" s="35" t="s">
        <v>34</v>
      </c>
      <c r="C536" s="33">
        <f>IF(C535="","",IF(AND(MONTH(C535)&gt;=1,MONTH(C535)&lt;=3),1,IF(AND(MONTH(C535)&gt;=4,MONTH(C535)&lt;=6),2,IF(AND(MONTH(C535)&gt;=7,MONTH(C535)&lt;=9),3,4))))</f>
        <v>2</v>
      </c>
      <c r="D536" s="38"/>
      <c r="E536" s="35" t="s">
        <v>35</v>
      </c>
      <c r="F536" s="37"/>
      <c r="G536" s="31"/>
      <c r="H536" s="31"/>
      <c r="I536" s="31"/>
      <c r="J536" s="31"/>
      <c r="K536" s="31"/>
      <c r="L536" s="31"/>
      <c r="M536" s="31"/>
      <c r="N536" s="31"/>
      <c r="O536" s="31"/>
      <c r="P536" s="31"/>
      <c r="Q536" s="31"/>
      <c r="R536" s="31"/>
      <c r="S536" s="31"/>
      <c r="T536" s="31"/>
      <c r="U536" s="31"/>
      <c r="V536" s="31"/>
      <c r="W536" s="31"/>
      <c r="X536" s="31"/>
      <c r="Y536" s="31"/>
      <c r="Z536" s="31"/>
    </row>
    <row r="537" ht="13.5" customHeight="1">
      <c r="A537" s="38"/>
      <c r="B537" s="35" t="s">
        <v>36</v>
      </c>
      <c r="C537" s="36">
        <v>45035.0</v>
      </c>
      <c r="D537" s="38"/>
      <c r="E537" s="35" t="s">
        <v>37</v>
      </c>
      <c r="F537" s="37"/>
      <c r="G537" s="31"/>
      <c r="H537" s="31"/>
      <c r="I537" s="31"/>
      <c r="J537" s="31"/>
      <c r="K537" s="31"/>
      <c r="L537" s="31"/>
      <c r="M537" s="31"/>
      <c r="N537" s="31"/>
      <c r="O537" s="31"/>
      <c r="P537" s="31"/>
      <c r="Q537" s="31"/>
      <c r="R537" s="31"/>
      <c r="S537" s="31"/>
      <c r="T537" s="31"/>
      <c r="U537" s="31"/>
      <c r="V537" s="31"/>
      <c r="W537" s="31"/>
      <c r="X537" s="31"/>
      <c r="Y537" s="31"/>
      <c r="Z537" s="31"/>
    </row>
    <row r="538" ht="13.5" customHeight="1">
      <c r="A538" s="39"/>
      <c r="B538" s="35" t="s">
        <v>34</v>
      </c>
      <c r="C538" s="33">
        <f>IF(C537="","",IF(AND(MONTH(C537)&gt;=1,MONTH(C537)&lt;=3),1,IF(AND(MONTH(C537)&gt;=4,MONTH(C537)&lt;=6),2,IF(AND(MONTH(C537)&gt;=7,MONTH(C537)&lt;=9),3,4))))</f>
        <v>2</v>
      </c>
      <c r="D538" s="39"/>
      <c r="E538" s="35" t="s">
        <v>38</v>
      </c>
      <c r="F538" s="37"/>
      <c r="G538" s="31"/>
      <c r="H538" s="31"/>
      <c r="I538" s="31"/>
      <c r="J538" s="31"/>
      <c r="K538" s="31"/>
      <c r="L538" s="31"/>
      <c r="M538" s="31"/>
      <c r="N538" s="31"/>
      <c r="O538" s="31"/>
      <c r="P538" s="31"/>
      <c r="Q538" s="31"/>
      <c r="R538" s="31"/>
      <c r="S538" s="31"/>
      <c r="T538" s="31"/>
      <c r="U538" s="31"/>
      <c r="V538" s="31"/>
      <c r="W538" s="31"/>
      <c r="X538" s="31"/>
      <c r="Y538" s="31"/>
      <c r="Z538" s="31"/>
    </row>
    <row r="539" ht="13.5" customHeight="1">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row>
    <row r="540" ht="13.5" customHeight="1">
      <c r="A540" s="40" t="s">
        <v>39</v>
      </c>
      <c r="B540" s="40" t="s">
        <v>40</v>
      </c>
      <c r="C540" s="40" t="s">
        <v>41</v>
      </c>
      <c r="D540" s="40" t="s">
        <v>42</v>
      </c>
      <c r="E540" s="40" t="s">
        <v>43</v>
      </c>
      <c r="F540" s="40" t="s">
        <v>44</v>
      </c>
      <c r="G540" s="31"/>
      <c r="H540" s="31"/>
      <c r="I540" s="31"/>
      <c r="J540" s="31"/>
      <c r="K540" s="31"/>
      <c r="L540" s="31"/>
      <c r="M540" s="31"/>
      <c r="N540" s="31"/>
      <c r="O540" s="31"/>
      <c r="P540" s="31"/>
      <c r="Q540" s="31"/>
      <c r="R540" s="31"/>
      <c r="S540" s="31"/>
      <c r="T540" s="31"/>
      <c r="U540" s="31"/>
      <c r="V540" s="31"/>
      <c r="W540" s="31"/>
      <c r="X540" s="31"/>
      <c r="Y540" s="31"/>
      <c r="Z540" s="31"/>
    </row>
    <row r="541" ht="13.5" customHeight="1">
      <c r="A541" s="41" t="s">
        <v>226</v>
      </c>
      <c r="B541" s="41" t="str">
        <f t="array" ref="B541">IFERROR(INDEX(#REF!,MATCH(INDIRECT(ADDRESS(ROW(),COLUMN()-1,4)),#REF!,0)),IF(INDIRECT(ADDRESS(ROW(),COLUMN()-1,4))="41106201","Antimicóticos",""))</f>
        <v>Antimicóticos</v>
      </c>
      <c r="C541" s="42" t="str">
        <f>IFERROR(VLOOKUP("UD",'Informacion '!P:Q,2,FALSE),"")</f>
        <v/>
      </c>
      <c r="D541" s="41">
        <v>300.0</v>
      </c>
      <c r="E541" s="43">
        <v>500.0</v>
      </c>
      <c r="F541" s="43">
        <f>INDIRECT(ADDRESS(ROW(),COLUMN()-2,4))*INDIRECT(ADDRESS(ROW(),COLUMN()-1,4))</f>
        <v>150000</v>
      </c>
      <c r="G541" s="31"/>
      <c r="H541" s="31"/>
      <c r="I541" s="31"/>
      <c r="J541" s="31"/>
      <c r="K541" s="31"/>
      <c r="L541" s="31"/>
      <c r="M541" s="31"/>
      <c r="N541" s="31"/>
      <c r="O541" s="31"/>
      <c r="P541" s="31"/>
      <c r="Q541" s="31"/>
      <c r="R541" s="31"/>
      <c r="S541" s="31"/>
      <c r="T541" s="31"/>
      <c r="U541" s="31"/>
      <c r="V541" s="31"/>
      <c r="W541" s="31"/>
      <c r="X541" s="31"/>
      <c r="Y541" s="31"/>
      <c r="Z541" s="31"/>
    </row>
    <row r="542" ht="13.5" customHeight="1">
      <c r="A542" s="31"/>
      <c r="B542" s="31"/>
      <c r="C542" s="31"/>
      <c r="D542" s="31"/>
      <c r="E542" s="44" t="s">
        <v>63</v>
      </c>
      <c r="F542" s="45">
        <f>SUM(PACC!$F$541)</f>
        <v>150000</v>
      </c>
      <c r="G542" s="31"/>
      <c r="H542" s="31" t="str">
        <f>C534</f>
        <v>Bienes</v>
      </c>
      <c r="I542" s="31" t="str">
        <f>E534</f>
        <v>No</v>
      </c>
      <c r="J542" s="31" t="str">
        <f>D534</f>
        <v>Compras por debajo del Umbral</v>
      </c>
      <c r="K542" s="31"/>
      <c r="L542" s="31"/>
      <c r="M542" s="31"/>
      <c r="N542" s="31"/>
      <c r="O542" s="31"/>
      <c r="P542" s="31"/>
      <c r="Q542" s="31"/>
      <c r="R542" s="31"/>
      <c r="S542" s="31"/>
      <c r="T542" s="31"/>
      <c r="U542" s="31"/>
      <c r="V542" s="31"/>
      <c r="W542" s="31"/>
      <c r="X542" s="31"/>
      <c r="Y542" s="31"/>
      <c r="Z542" s="31"/>
    </row>
    <row r="543" ht="13.5" customHeight="1">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row>
    <row r="544" ht="33.75" customHeight="1">
      <c r="A544" s="32" t="s">
        <v>19</v>
      </c>
      <c r="B544" s="32" t="s">
        <v>20</v>
      </c>
      <c r="C544" s="32" t="s">
        <v>21</v>
      </c>
      <c r="D544" s="32" t="s">
        <v>22</v>
      </c>
      <c r="E544" s="32" t="s">
        <v>23</v>
      </c>
      <c r="F544" s="32" t="s">
        <v>24</v>
      </c>
      <c r="G544" s="31"/>
      <c r="H544" s="31"/>
      <c r="I544" s="31"/>
      <c r="J544" s="31"/>
      <c r="K544" s="31"/>
      <c r="L544" s="31"/>
      <c r="M544" s="31"/>
      <c r="N544" s="31"/>
      <c r="O544" s="31"/>
      <c r="P544" s="31"/>
      <c r="Q544" s="31"/>
      <c r="R544" s="31"/>
      <c r="S544" s="31"/>
      <c r="T544" s="31"/>
      <c r="U544" s="31"/>
      <c r="V544" s="31"/>
      <c r="W544" s="31"/>
      <c r="X544" s="31"/>
      <c r="Y544" s="31"/>
      <c r="Z544" s="31"/>
    </row>
    <row r="545" ht="13.5" customHeight="1">
      <c r="A545" s="33" t="s">
        <v>227</v>
      </c>
      <c r="B545" s="33" t="s">
        <v>228</v>
      </c>
      <c r="C545" s="33" t="s">
        <v>27</v>
      </c>
      <c r="D545" s="33" t="s">
        <v>124</v>
      </c>
      <c r="E545" s="33" t="s">
        <v>67</v>
      </c>
      <c r="F545" s="33"/>
      <c r="G545" s="31"/>
      <c r="H545" s="31"/>
      <c r="I545" s="31"/>
      <c r="J545" s="31"/>
      <c r="K545" s="31"/>
      <c r="L545" s="31"/>
      <c r="M545" s="31"/>
      <c r="N545" s="31"/>
      <c r="O545" s="31"/>
      <c r="P545" s="31"/>
      <c r="Q545" s="31"/>
      <c r="R545" s="31"/>
      <c r="S545" s="31"/>
      <c r="T545" s="31"/>
      <c r="U545" s="31"/>
      <c r="V545" s="31"/>
      <c r="W545" s="31"/>
      <c r="X545" s="31"/>
      <c r="Y545" s="31"/>
      <c r="Z545" s="31"/>
    </row>
    <row r="546" ht="13.5" customHeight="1">
      <c r="A546" s="34" t="s">
        <v>30</v>
      </c>
      <c r="B546" s="35" t="s">
        <v>31</v>
      </c>
      <c r="C546" s="36">
        <v>45180.0</v>
      </c>
      <c r="D546" s="34" t="s">
        <v>32</v>
      </c>
      <c r="E546" s="35" t="s">
        <v>33</v>
      </c>
      <c r="F546" s="37"/>
      <c r="G546" s="31"/>
      <c r="H546" s="31"/>
      <c r="I546" s="31"/>
      <c r="J546" s="31"/>
      <c r="K546" s="31"/>
      <c r="L546" s="31"/>
      <c r="M546" s="31"/>
      <c r="N546" s="31"/>
      <c r="O546" s="31"/>
      <c r="P546" s="31"/>
      <c r="Q546" s="31"/>
      <c r="R546" s="31"/>
      <c r="S546" s="31"/>
      <c r="T546" s="31"/>
      <c r="U546" s="31"/>
      <c r="V546" s="31"/>
      <c r="W546" s="31"/>
      <c r="X546" s="31"/>
      <c r="Y546" s="31"/>
      <c r="Z546" s="31"/>
    </row>
    <row r="547" ht="13.5" customHeight="1">
      <c r="A547" s="38"/>
      <c r="B547" s="35" t="s">
        <v>34</v>
      </c>
      <c r="C547" s="33">
        <f>IF(C546="","",IF(AND(MONTH(C546)&gt;=1,MONTH(C546)&lt;=3),1,IF(AND(MONTH(C546)&gt;=4,MONTH(C546)&lt;=6),2,IF(AND(MONTH(C546)&gt;=7,MONTH(C546)&lt;=9),3,4))))</f>
        <v>3</v>
      </c>
      <c r="D547" s="38"/>
      <c r="E547" s="35" t="s">
        <v>35</v>
      </c>
      <c r="F547" s="37"/>
      <c r="G547" s="31"/>
      <c r="H547" s="31"/>
      <c r="I547" s="31"/>
      <c r="J547" s="31"/>
      <c r="K547" s="31"/>
      <c r="L547" s="31"/>
      <c r="M547" s="31"/>
      <c r="N547" s="31"/>
      <c r="O547" s="31"/>
      <c r="P547" s="31"/>
      <c r="Q547" s="31"/>
      <c r="R547" s="31"/>
      <c r="S547" s="31"/>
      <c r="T547" s="31"/>
      <c r="U547" s="31"/>
      <c r="V547" s="31"/>
      <c r="W547" s="31"/>
      <c r="X547" s="31"/>
      <c r="Y547" s="31"/>
      <c r="Z547" s="31"/>
    </row>
    <row r="548" ht="13.5" customHeight="1">
      <c r="A548" s="38"/>
      <c r="B548" s="35" t="s">
        <v>36</v>
      </c>
      <c r="C548" s="36">
        <v>45183.0</v>
      </c>
      <c r="D548" s="38"/>
      <c r="E548" s="35" t="s">
        <v>37</v>
      </c>
      <c r="F548" s="37"/>
      <c r="G548" s="31"/>
      <c r="H548" s="31"/>
      <c r="I548" s="31"/>
      <c r="J548" s="31"/>
      <c r="K548" s="31"/>
      <c r="L548" s="31"/>
      <c r="M548" s="31"/>
      <c r="N548" s="31"/>
      <c r="O548" s="31"/>
      <c r="P548" s="31"/>
      <c r="Q548" s="31"/>
      <c r="R548" s="31"/>
      <c r="S548" s="31"/>
      <c r="T548" s="31"/>
      <c r="U548" s="31"/>
      <c r="V548" s="31"/>
      <c r="W548" s="31"/>
      <c r="X548" s="31"/>
      <c r="Y548" s="31"/>
      <c r="Z548" s="31"/>
    </row>
    <row r="549" ht="13.5" customHeight="1">
      <c r="A549" s="39"/>
      <c r="B549" s="35" t="s">
        <v>34</v>
      </c>
      <c r="C549" s="33">
        <f>IF(C548="","",IF(AND(MONTH(C548)&gt;=1,MONTH(C548)&lt;=3),1,IF(AND(MONTH(C548)&gt;=4,MONTH(C548)&lt;=6),2,IF(AND(MONTH(C548)&gt;=7,MONTH(C548)&lt;=9),3,4))))</f>
        <v>3</v>
      </c>
      <c r="D549" s="39"/>
      <c r="E549" s="35" t="s">
        <v>38</v>
      </c>
      <c r="F549" s="37"/>
      <c r="G549" s="31"/>
      <c r="H549" s="31"/>
      <c r="I549" s="31"/>
      <c r="J549" s="31"/>
      <c r="K549" s="31"/>
      <c r="L549" s="31"/>
      <c r="M549" s="31"/>
      <c r="N549" s="31"/>
      <c r="O549" s="31"/>
      <c r="P549" s="31"/>
      <c r="Q549" s="31"/>
      <c r="R549" s="31"/>
      <c r="S549" s="31"/>
      <c r="T549" s="31"/>
      <c r="U549" s="31"/>
      <c r="V549" s="31"/>
      <c r="W549" s="31"/>
      <c r="X549" s="31"/>
      <c r="Y549" s="31"/>
      <c r="Z549" s="31"/>
    </row>
    <row r="550" ht="13.5" customHeight="1">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row>
    <row r="551" ht="13.5" customHeight="1">
      <c r="A551" s="40" t="s">
        <v>39</v>
      </c>
      <c r="B551" s="40" t="s">
        <v>40</v>
      </c>
      <c r="C551" s="40" t="s">
        <v>41</v>
      </c>
      <c r="D551" s="40" t="s">
        <v>42</v>
      </c>
      <c r="E551" s="40" t="s">
        <v>43</v>
      </c>
      <c r="F551" s="40" t="s">
        <v>44</v>
      </c>
      <c r="G551" s="31"/>
      <c r="H551" s="31"/>
      <c r="I551" s="31"/>
      <c r="J551" s="31"/>
      <c r="K551" s="31"/>
      <c r="L551" s="31"/>
      <c r="M551" s="31"/>
      <c r="N551" s="31"/>
      <c r="O551" s="31"/>
      <c r="P551" s="31"/>
      <c r="Q551" s="31"/>
      <c r="R551" s="31"/>
      <c r="S551" s="31"/>
      <c r="T551" s="31"/>
      <c r="U551" s="31"/>
      <c r="V551" s="31"/>
      <c r="W551" s="31"/>
      <c r="X551" s="31"/>
      <c r="Y551" s="31"/>
      <c r="Z551" s="31"/>
    </row>
    <row r="552" ht="13.5" customHeight="1">
      <c r="A552" s="41" t="s">
        <v>229</v>
      </c>
      <c r="B552" s="41" t="str">
        <f t="array" ref="B552">IFERROR(INDEX(#REF!,MATCH(INDIRECT(ADDRESS(ROW(),COLUMN()-1,4)),#REF!,0)),IF(INDIRECT(ADDRESS(ROW(),COLUMN()-1,4))="30181511","Inodoros o excusados",""))</f>
        <v>Inodoros o excusados</v>
      </c>
      <c r="C552" s="42" t="str">
        <f>IFERROR(VLOOKUP("UD",'Informacion '!P:Q,2,FALSE),"")</f>
        <v/>
      </c>
      <c r="D552" s="41">
        <v>16.0</v>
      </c>
      <c r="E552" s="43">
        <v>6875.0</v>
      </c>
      <c r="F552" s="43">
        <f>INDIRECT(ADDRESS(ROW(),COLUMN()-2,4))*INDIRECT(ADDRESS(ROW(),COLUMN()-1,4))</f>
        <v>110000</v>
      </c>
      <c r="G552" s="31"/>
      <c r="H552" s="31"/>
      <c r="I552" s="31"/>
      <c r="J552" s="31"/>
      <c r="K552" s="31"/>
      <c r="L552" s="31"/>
      <c r="M552" s="31"/>
      <c r="N552" s="31"/>
      <c r="O552" s="31"/>
      <c r="P552" s="31"/>
      <c r="Q552" s="31"/>
      <c r="R552" s="31"/>
      <c r="S552" s="31"/>
      <c r="T552" s="31"/>
      <c r="U552" s="31"/>
      <c r="V552" s="31"/>
      <c r="W552" s="31"/>
      <c r="X552" s="31"/>
      <c r="Y552" s="31"/>
      <c r="Z552" s="31"/>
    </row>
    <row r="553" ht="13.5" customHeight="1">
      <c r="A553" s="31"/>
      <c r="B553" s="31"/>
      <c r="C553" s="31"/>
      <c r="D553" s="31"/>
      <c r="E553" s="44" t="s">
        <v>63</v>
      </c>
      <c r="F553" s="45">
        <f>SUM(PACC!$F$552)</f>
        <v>110000</v>
      </c>
      <c r="G553" s="31"/>
      <c r="H553" s="31" t="str">
        <f>C545</f>
        <v>Bienes</v>
      </c>
      <c r="I553" s="31" t="str">
        <f>E545</f>
        <v>No</v>
      </c>
      <c r="J553" s="31" t="str">
        <f>D545</f>
        <v>Compras por debajo del Umbral</v>
      </c>
      <c r="K553" s="31"/>
      <c r="L553" s="31"/>
      <c r="M553" s="31"/>
      <c r="N553" s="31"/>
      <c r="O553" s="31"/>
      <c r="P553" s="31"/>
      <c r="Q553" s="31"/>
      <c r="R553" s="31"/>
      <c r="S553" s="31"/>
      <c r="T553" s="31"/>
      <c r="U553" s="31"/>
      <c r="V553" s="31"/>
      <c r="W553" s="31"/>
      <c r="X553" s="31"/>
      <c r="Y553" s="31"/>
      <c r="Z553" s="31"/>
    </row>
    <row r="554" ht="13.5" customHeight="1">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row>
    <row r="555" ht="33.75" customHeight="1">
      <c r="A555" s="32" t="s">
        <v>19</v>
      </c>
      <c r="B555" s="32" t="s">
        <v>20</v>
      </c>
      <c r="C555" s="32" t="s">
        <v>21</v>
      </c>
      <c r="D555" s="32" t="s">
        <v>22</v>
      </c>
      <c r="E555" s="32" t="s">
        <v>23</v>
      </c>
      <c r="F555" s="32" t="s">
        <v>24</v>
      </c>
      <c r="G555" s="31"/>
      <c r="H555" s="31"/>
      <c r="I555" s="31"/>
      <c r="J555" s="31"/>
      <c r="K555" s="31"/>
      <c r="L555" s="31"/>
      <c r="M555" s="31"/>
      <c r="N555" s="31"/>
      <c r="O555" s="31"/>
      <c r="P555" s="31"/>
      <c r="Q555" s="31"/>
      <c r="R555" s="31"/>
      <c r="S555" s="31"/>
      <c r="T555" s="31"/>
      <c r="U555" s="31"/>
      <c r="V555" s="31"/>
      <c r="W555" s="31"/>
      <c r="X555" s="31"/>
      <c r="Y555" s="31"/>
      <c r="Z555" s="31"/>
    </row>
    <row r="556" ht="13.5" customHeight="1">
      <c r="A556" s="33" t="s">
        <v>230</v>
      </c>
      <c r="B556" s="33" t="s">
        <v>231</v>
      </c>
      <c r="C556" s="33" t="s">
        <v>27</v>
      </c>
      <c r="D556" s="33" t="s">
        <v>124</v>
      </c>
      <c r="E556" s="33" t="s">
        <v>67</v>
      </c>
      <c r="F556" s="33"/>
      <c r="G556" s="31"/>
      <c r="H556" s="31"/>
      <c r="I556" s="31"/>
      <c r="J556" s="31"/>
      <c r="K556" s="31"/>
      <c r="L556" s="31"/>
      <c r="M556" s="31"/>
      <c r="N556" s="31"/>
      <c r="O556" s="31"/>
      <c r="P556" s="31"/>
      <c r="Q556" s="31"/>
      <c r="R556" s="31"/>
      <c r="S556" s="31"/>
      <c r="T556" s="31"/>
      <c r="U556" s="31"/>
      <c r="V556" s="31"/>
      <c r="W556" s="31"/>
      <c r="X556" s="31"/>
      <c r="Y556" s="31"/>
      <c r="Z556" s="31"/>
    </row>
    <row r="557" ht="13.5" customHeight="1">
      <c r="A557" s="34" t="s">
        <v>30</v>
      </c>
      <c r="B557" s="35" t="s">
        <v>31</v>
      </c>
      <c r="C557" s="36">
        <v>45019.0</v>
      </c>
      <c r="D557" s="34" t="s">
        <v>32</v>
      </c>
      <c r="E557" s="35" t="s">
        <v>33</v>
      </c>
      <c r="F557" s="37"/>
      <c r="G557" s="31"/>
      <c r="H557" s="31"/>
      <c r="I557" s="31"/>
      <c r="J557" s="31"/>
      <c r="K557" s="31"/>
      <c r="L557" s="31"/>
      <c r="M557" s="31"/>
      <c r="N557" s="31"/>
      <c r="O557" s="31"/>
      <c r="P557" s="31"/>
      <c r="Q557" s="31"/>
      <c r="R557" s="31"/>
      <c r="S557" s="31"/>
      <c r="T557" s="31"/>
      <c r="U557" s="31"/>
      <c r="V557" s="31"/>
      <c r="W557" s="31"/>
      <c r="X557" s="31"/>
      <c r="Y557" s="31"/>
      <c r="Z557" s="31"/>
    </row>
    <row r="558" ht="13.5" customHeight="1">
      <c r="A558" s="38"/>
      <c r="B558" s="35" t="s">
        <v>34</v>
      </c>
      <c r="C558" s="33">
        <f>IF(C557="","",IF(AND(MONTH(C557)&gt;=1,MONTH(C557)&lt;=3),1,IF(AND(MONTH(C557)&gt;=4,MONTH(C557)&lt;=6),2,IF(AND(MONTH(C557)&gt;=7,MONTH(C557)&lt;=9),3,4))))</f>
        <v>2</v>
      </c>
      <c r="D558" s="38"/>
      <c r="E558" s="35" t="s">
        <v>35</v>
      </c>
      <c r="F558" s="37"/>
      <c r="G558" s="31"/>
      <c r="H558" s="31"/>
      <c r="I558" s="31"/>
      <c r="J558" s="31"/>
      <c r="K558" s="31"/>
      <c r="L558" s="31"/>
      <c r="M558" s="31"/>
      <c r="N558" s="31"/>
      <c r="O558" s="31"/>
      <c r="P558" s="31"/>
      <c r="Q558" s="31"/>
      <c r="R558" s="31"/>
      <c r="S558" s="31"/>
      <c r="T558" s="31"/>
      <c r="U558" s="31"/>
      <c r="V558" s="31"/>
      <c r="W558" s="31"/>
      <c r="X558" s="31"/>
      <c r="Y558" s="31"/>
      <c r="Z558" s="31"/>
    </row>
    <row r="559" ht="13.5" customHeight="1">
      <c r="A559" s="38"/>
      <c r="B559" s="35" t="s">
        <v>36</v>
      </c>
      <c r="C559" s="36">
        <v>45020.0</v>
      </c>
      <c r="D559" s="38"/>
      <c r="E559" s="35" t="s">
        <v>37</v>
      </c>
      <c r="F559" s="37"/>
      <c r="G559" s="31"/>
      <c r="H559" s="31"/>
      <c r="I559" s="31"/>
      <c r="J559" s="31"/>
      <c r="K559" s="31"/>
      <c r="L559" s="31"/>
      <c r="M559" s="31"/>
      <c r="N559" s="31"/>
      <c r="O559" s="31"/>
      <c r="P559" s="31"/>
      <c r="Q559" s="31"/>
      <c r="R559" s="31"/>
      <c r="S559" s="31"/>
      <c r="T559" s="31"/>
      <c r="U559" s="31"/>
      <c r="V559" s="31"/>
      <c r="W559" s="31"/>
      <c r="X559" s="31"/>
      <c r="Y559" s="31"/>
      <c r="Z559" s="31"/>
    </row>
    <row r="560" ht="13.5" customHeight="1">
      <c r="A560" s="39"/>
      <c r="B560" s="35" t="s">
        <v>34</v>
      </c>
      <c r="C560" s="33">
        <f>IF(C559="","",IF(AND(MONTH(C559)&gt;=1,MONTH(C559)&lt;=3),1,IF(AND(MONTH(C559)&gt;=4,MONTH(C559)&lt;=6),2,IF(AND(MONTH(C559)&gt;=7,MONTH(C559)&lt;=9),3,4))))</f>
        <v>2</v>
      </c>
      <c r="D560" s="39"/>
      <c r="E560" s="35" t="s">
        <v>38</v>
      </c>
      <c r="F560" s="37"/>
      <c r="G560" s="31"/>
      <c r="H560" s="31"/>
      <c r="I560" s="31"/>
      <c r="J560" s="31"/>
      <c r="K560" s="31"/>
      <c r="L560" s="31"/>
      <c r="M560" s="31"/>
      <c r="N560" s="31"/>
      <c r="O560" s="31"/>
      <c r="P560" s="31"/>
      <c r="Q560" s="31"/>
      <c r="R560" s="31"/>
      <c r="S560" s="31"/>
      <c r="T560" s="31"/>
      <c r="U560" s="31"/>
      <c r="V560" s="31"/>
      <c r="W560" s="31"/>
      <c r="X560" s="31"/>
      <c r="Y560" s="31"/>
      <c r="Z560" s="31"/>
    </row>
    <row r="561" ht="13.5" customHeight="1">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row>
    <row r="562" ht="13.5" customHeight="1">
      <c r="A562" s="40" t="s">
        <v>39</v>
      </c>
      <c r="B562" s="40" t="s">
        <v>40</v>
      </c>
      <c r="C562" s="40" t="s">
        <v>41</v>
      </c>
      <c r="D562" s="40" t="s">
        <v>42</v>
      </c>
      <c r="E562" s="40" t="s">
        <v>43</v>
      </c>
      <c r="F562" s="40" t="s">
        <v>44</v>
      </c>
      <c r="G562" s="31"/>
      <c r="H562" s="31"/>
      <c r="I562" s="31"/>
      <c r="J562" s="31"/>
      <c r="K562" s="31"/>
      <c r="L562" s="31"/>
      <c r="M562" s="31"/>
      <c r="N562" s="31"/>
      <c r="O562" s="31"/>
      <c r="P562" s="31"/>
      <c r="Q562" s="31"/>
      <c r="R562" s="31"/>
      <c r="S562" s="31"/>
      <c r="T562" s="31"/>
      <c r="U562" s="31"/>
      <c r="V562" s="31"/>
      <c r="W562" s="31"/>
      <c r="X562" s="31"/>
      <c r="Y562" s="31"/>
      <c r="Z562" s="31"/>
    </row>
    <row r="563" ht="13.5" customHeight="1">
      <c r="A563" s="41" t="s">
        <v>232</v>
      </c>
      <c r="B563" s="41" t="str">
        <f t="array" ref="B563">IFERROR(INDEX(#REF!,MATCH(INDIRECT(ADDRESS(ROW(),COLUMN()-1,4)),#REF!,0)),IF(INDIRECT(ADDRESS(ROW(),COLUMN()-1,4))="27111508","Sierras",""))</f>
        <v>Sierras</v>
      </c>
      <c r="C563" s="42" t="str">
        <f>IFERROR(VLOOKUP("UD",'Informacion '!P:Q,2,FALSE),"")</f>
        <v/>
      </c>
      <c r="D563" s="41">
        <v>1.0</v>
      </c>
      <c r="E563" s="43">
        <v>100000.0</v>
      </c>
      <c r="F563" s="43">
        <f>INDIRECT(ADDRESS(ROW(),COLUMN()-2,4))*INDIRECT(ADDRESS(ROW(),COLUMN()-1,4))</f>
        <v>100000</v>
      </c>
      <c r="G563" s="31"/>
      <c r="H563" s="31"/>
      <c r="I563" s="31"/>
      <c r="J563" s="31"/>
      <c r="K563" s="31"/>
      <c r="L563" s="31"/>
      <c r="M563" s="31"/>
      <c r="N563" s="31"/>
      <c r="O563" s="31"/>
      <c r="P563" s="31"/>
      <c r="Q563" s="31"/>
      <c r="R563" s="31"/>
      <c r="S563" s="31"/>
      <c r="T563" s="31"/>
      <c r="U563" s="31"/>
      <c r="V563" s="31"/>
      <c r="W563" s="31"/>
      <c r="X563" s="31"/>
      <c r="Y563" s="31"/>
      <c r="Z563" s="31"/>
    </row>
    <row r="564" ht="13.5" customHeight="1">
      <c r="A564" s="31"/>
      <c r="B564" s="31"/>
      <c r="C564" s="31"/>
      <c r="D564" s="31"/>
      <c r="E564" s="44" t="s">
        <v>63</v>
      </c>
      <c r="F564" s="45">
        <f>SUM(PACC!$F$563)</f>
        <v>100000</v>
      </c>
      <c r="G564" s="31"/>
      <c r="H564" s="31" t="str">
        <f>C556</f>
        <v>Bienes</v>
      </c>
      <c r="I564" s="31" t="str">
        <f>E556</f>
        <v>No</v>
      </c>
      <c r="J564" s="31" t="str">
        <f>D556</f>
        <v>Compras por debajo del Umbral</v>
      </c>
      <c r="K564" s="31"/>
      <c r="L564" s="31"/>
      <c r="M564" s="31"/>
      <c r="N564" s="31"/>
      <c r="O564" s="31"/>
      <c r="P564" s="31"/>
      <c r="Q564" s="31"/>
      <c r="R564" s="31"/>
      <c r="S564" s="31"/>
      <c r="T564" s="31"/>
      <c r="U564" s="31"/>
      <c r="V564" s="31"/>
      <c r="W564" s="31"/>
      <c r="X564" s="31"/>
      <c r="Y564" s="31"/>
      <c r="Z564" s="31"/>
    </row>
    <row r="565" ht="13.5" customHeight="1">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row>
    <row r="566" ht="33.75" customHeight="1">
      <c r="A566" s="32" t="s">
        <v>19</v>
      </c>
      <c r="B566" s="32" t="s">
        <v>20</v>
      </c>
      <c r="C566" s="32" t="s">
        <v>21</v>
      </c>
      <c r="D566" s="32" t="s">
        <v>22</v>
      </c>
      <c r="E566" s="32" t="s">
        <v>23</v>
      </c>
      <c r="F566" s="32" t="s">
        <v>24</v>
      </c>
      <c r="G566" s="31"/>
      <c r="H566" s="31"/>
      <c r="I566" s="31"/>
      <c r="J566" s="31"/>
      <c r="K566" s="31"/>
      <c r="L566" s="31"/>
      <c r="M566" s="31"/>
      <c r="N566" s="31"/>
      <c r="O566" s="31"/>
      <c r="P566" s="31"/>
      <c r="Q566" s="31"/>
      <c r="R566" s="31"/>
      <c r="S566" s="31"/>
      <c r="T566" s="31"/>
      <c r="U566" s="31"/>
      <c r="V566" s="31"/>
      <c r="W566" s="31"/>
      <c r="X566" s="31"/>
      <c r="Y566" s="31"/>
      <c r="Z566" s="31"/>
    </row>
    <row r="567" ht="13.5" customHeight="1">
      <c r="A567" s="33" t="s">
        <v>233</v>
      </c>
      <c r="B567" s="33" t="s">
        <v>234</v>
      </c>
      <c r="C567" s="33" t="s">
        <v>27</v>
      </c>
      <c r="D567" s="33" t="s">
        <v>124</v>
      </c>
      <c r="E567" s="33" t="s">
        <v>67</v>
      </c>
      <c r="F567" s="33"/>
      <c r="G567" s="31"/>
      <c r="H567" s="31"/>
      <c r="I567" s="31"/>
      <c r="J567" s="31"/>
      <c r="K567" s="31"/>
      <c r="L567" s="31"/>
      <c r="M567" s="31"/>
      <c r="N567" s="31"/>
      <c r="O567" s="31"/>
      <c r="P567" s="31"/>
      <c r="Q567" s="31"/>
      <c r="R567" s="31"/>
      <c r="S567" s="31"/>
      <c r="T567" s="31"/>
      <c r="U567" s="31"/>
      <c r="V567" s="31"/>
      <c r="W567" s="31"/>
      <c r="X567" s="31"/>
      <c r="Y567" s="31"/>
      <c r="Z567" s="31"/>
    </row>
    <row r="568" ht="13.5" customHeight="1">
      <c r="A568" s="34" t="s">
        <v>30</v>
      </c>
      <c r="B568" s="35" t="s">
        <v>31</v>
      </c>
      <c r="C568" s="36">
        <v>45015.0</v>
      </c>
      <c r="D568" s="34" t="s">
        <v>32</v>
      </c>
      <c r="E568" s="35" t="s">
        <v>33</v>
      </c>
      <c r="F568" s="37"/>
      <c r="G568" s="31"/>
      <c r="H568" s="31"/>
      <c r="I568" s="31"/>
      <c r="J568" s="31"/>
      <c r="K568" s="31"/>
      <c r="L568" s="31"/>
      <c r="M568" s="31"/>
      <c r="N568" s="31"/>
      <c r="O568" s="31"/>
      <c r="P568" s="31"/>
      <c r="Q568" s="31"/>
      <c r="R568" s="31"/>
      <c r="S568" s="31"/>
      <c r="T568" s="31"/>
      <c r="U568" s="31"/>
      <c r="V568" s="31"/>
      <c r="W568" s="31"/>
      <c r="X568" s="31"/>
      <c r="Y568" s="31"/>
      <c r="Z568" s="31"/>
    </row>
    <row r="569" ht="13.5" customHeight="1">
      <c r="A569" s="38"/>
      <c r="B569" s="35" t="s">
        <v>34</v>
      </c>
      <c r="C569" s="33">
        <f>IF(C568="","",IF(AND(MONTH(C568)&gt;=1,MONTH(C568)&lt;=3),1,IF(AND(MONTH(C568)&gt;=4,MONTH(C568)&lt;=6),2,IF(AND(MONTH(C568)&gt;=7,MONTH(C568)&lt;=9),3,4))))</f>
        <v>1</v>
      </c>
      <c r="D569" s="38"/>
      <c r="E569" s="35" t="s">
        <v>35</v>
      </c>
      <c r="F569" s="37"/>
      <c r="G569" s="31"/>
      <c r="H569" s="31"/>
      <c r="I569" s="31"/>
      <c r="J569" s="31"/>
      <c r="K569" s="31"/>
      <c r="L569" s="31"/>
      <c r="M569" s="31"/>
      <c r="N569" s="31"/>
      <c r="O569" s="31"/>
      <c r="P569" s="31"/>
      <c r="Q569" s="31"/>
      <c r="R569" s="31"/>
      <c r="S569" s="31"/>
      <c r="T569" s="31"/>
      <c r="U569" s="31"/>
      <c r="V569" s="31"/>
      <c r="W569" s="31"/>
      <c r="X569" s="31"/>
      <c r="Y569" s="31"/>
      <c r="Z569" s="31"/>
    </row>
    <row r="570" ht="13.5" customHeight="1">
      <c r="A570" s="38"/>
      <c r="B570" s="35" t="s">
        <v>36</v>
      </c>
      <c r="C570" s="36">
        <v>45016.0</v>
      </c>
      <c r="D570" s="38"/>
      <c r="E570" s="35" t="s">
        <v>37</v>
      </c>
      <c r="F570" s="37"/>
      <c r="G570" s="31"/>
      <c r="H570" s="31"/>
      <c r="I570" s="31"/>
      <c r="J570" s="31"/>
      <c r="K570" s="31"/>
      <c r="L570" s="31"/>
      <c r="M570" s="31"/>
      <c r="N570" s="31"/>
      <c r="O570" s="31"/>
      <c r="P570" s="31"/>
      <c r="Q570" s="31"/>
      <c r="R570" s="31"/>
      <c r="S570" s="31"/>
      <c r="T570" s="31"/>
      <c r="U570" s="31"/>
      <c r="V570" s="31"/>
      <c r="W570" s="31"/>
      <c r="X570" s="31"/>
      <c r="Y570" s="31"/>
      <c r="Z570" s="31"/>
    </row>
    <row r="571" ht="13.5" customHeight="1">
      <c r="A571" s="39"/>
      <c r="B571" s="35" t="s">
        <v>34</v>
      </c>
      <c r="C571" s="33">
        <f>IF(C570="","",IF(AND(MONTH(C570)&gt;=1,MONTH(C570)&lt;=3),1,IF(AND(MONTH(C570)&gt;=4,MONTH(C570)&lt;=6),2,IF(AND(MONTH(C570)&gt;=7,MONTH(C570)&lt;=9),3,4))))</f>
        <v>1</v>
      </c>
      <c r="D571" s="39"/>
      <c r="E571" s="35" t="s">
        <v>38</v>
      </c>
      <c r="F571" s="37"/>
      <c r="G571" s="31"/>
      <c r="H571" s="31"/>
      <c r="I571" s="31"/>
      <c r="J571" s="31"/>
      <c r="K571" s="31"/>
      <c r="L571" s="31"/>
      <c r="M571" s="31"/>
      <c r="N571" s="31"/>
      <c r="O571" s="31"/>
      <c r="P571" s="31"/>
      <c r="Q571" s="31"/>
      <c r="R571" s="31"/>
      <c r="S571" s="31"/>
      <c r="T571" s="31"/>
      <c r="U571" s="31"/>
      <c r="V571" s="31"/>
      <c r="W571" s="31"/>
      <c r="X571" s="31"/>
      <c r="Y571" s="31"/>
      <c r="Z571" s="31"/>
    </row>
    <row r="572" ht="13.5" customHeight="1">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row>
    <row r="573" ht="13.5" customHeight="1">
      <c r="A573" s="40" t="s">
        <v>39</v>
      </c>
      <c r="B573" s="40" t="s">
        <v>40</v>
      </c>
      <c r="C573" s="40" t="s">
        <v>41</v>
      </c>
      <c r="D573" s="40" t="s">
        <v>42</v>
      </c>
      <c r="E573" s="40" t="s">
        <v>43</v>
      </c>
      <c r="F573" s="40" t="s">
        <v>44</v>
      </c>
      <c r="G573" s="31"/>
      <c r="H573" s="31"/>
      <c r="I573" s="31"/>
      <c r="J573" s="31"/>
      <c r="K573" s="31"/>
      <c r="L573" s="31"/>
      <c r="M573" s="31"/>
      <c r="N573" s="31"/>
      <c r="O573" s="31"/>
      <c r="P573" s="31"/>
      <c r="Q573" s="31"/>
      <c r="R573" s="31"/>
      <c r="S573" s="31"/>
      <c r="T573" s="31"/>
      <c r="U573" s="31"/>
      <c r="V573" s="31"/>
      <c r="W573" s="31"/>
      <c r="X573" s="31"/>
      <c r="Y573" s="31"/>
      <c r="Z573" s="31"/>
    </row>
    <row r="574" ht="13.5" customHeight="1">
      <c r="A574" s="41" t="s">
        <v>235</v>
      </c>
      <c r="B574" s="41" t="str">
        <f t="array" ref="B574">IFERROR(INDEX(#REF!,MATCH(INDIRECT(ADDRESS(ROW(),COLUMN()-1,4)),#REF!,0)),IF(INDIRECT(ADDRESS(ROW(),COLUMN()-1,4))="45111902","Sistemas de video conferencias",""))</f>
        <v>Sistemas de video conferencias</v>
      </c>
      <c r="C574" s="42" t="str">
        <f>IFERROR(VLOOKUP("UD",'Informacion '!P:Q,2,FALSE),"")</f>
        <v/>
      </c>
      <c r="D574" s="41">
        <v>1.0</v>
      </c>
      <c r="E574" s="43">
        <v>100000.0</v>
      </c>
      <c r="F574" s="43">
        <f>INDIRECT(ADDRESS(ROW(),COLUMN()-2,4))*INDIRECT(ADDRESS(ROW(),COLUMN()-1,4))</f>
        <v>100000</v>
      </c>
      <c r="G574" s="31"/>
      <c r="H574" s="31"/>
      <c r="I574" s="31"/>
      <c r="J574" s="31"/>
      <c r="K574" s="31"/>
      <c r="L574" s="31"/>
      <c r="M574" s="31"/>
      <c r="N574" s="31"/>
      <c r="O574" s="31"/>
      <c r="P574" s="31"/>
      <c r="Q574" s="31"/>
      <c r="R574" s="31"/>
      <c r="S574" s="31"/>
      <c r="T574" s="31"/>
      <c r="U574" s="31"/>
      <c r="V574" s="31"/>
      <c r="W574" s="31"/>
      <c r="X574" s="31"/>
      <c r="Y574" s="31"/>
      <c r="Z574" s="31"/>
    </row>
    <row r="575" ht="13.5" customHeight="1">
      <c r="A575" s="31"/>
      <c r="B575" s="31"/>
      <c r="C575" s="31"/>
      <c r="D575" s="31"/>
      <c r="E575" s="44" t="s">
        <v>63</v>
      </c>
      <c r="F575" s="45">
        <f>SUM(PACC!$F$574)</f>
        <v>100000</v>
      </c>
      <c r="G575" s="31"/>
      <c r="H575" s="31" t="str">
        <f>C567</f>
        <v>Bienes</v>
      </c>
      <c r="I575" s="31" t="str">
        <f>E567</f>
        <v>No</v>
      </c>
      <c r="J575" s="31" t="str">
        <f>D567</f>
        <v>Compras por debajo del Umbral</v>
      </c>
      <c r="K575" s="31"/>
      <c r="L575" s="31"/>
      <c r="M575" s="31"/>
      <c r="N575" s="31"/>
      <c r="O575" s="31"/>
      <c r="P575" s="31"/>
      <c r="Q575" s="31"/>
      <c r="R575" s="31"/>
      <c r="S575" s="31"/>
      <c r="T575" s="31"/>
      <c r="U575" s="31"/>
      <c r="V575" s="31"/>
      <c r="W575" s="31"/>
      <c r="X575" s="31"/>
      <c r="Y575" s="31"/>
      <c r="Z575" s="31"/>
    </row>
    <row r="576" ht="13.5" customHeight="1">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row>
    <row r="577" ht="33.75" customHeight="1">
      <c r="A577" s="32" t="s">
        <v>19</v>
      </c>
      <c r="B577" s="32" t="s">
        <v>20</v>
      </c>
      <c r="C577" s="32" t="s">
        <v>21</v>
      </c>
      <c r="D577" s="32" t="s">
        <v>22</v>
      </c>
      <c r="E577" s="32" t="s">
        <v>23</v>
      </c>
      <c r="F577" s="32" t="s">
        <v>24</v>
      </c>
      <c r="G577" s="31"/>
      <c r="H577" s="31"/>
      <c r="I577" s="31"/>
      <c r="J577" s="31"/>
      <c r="K577" s="31"/>
      <c r="L577" s="31"/>
      <c r="M577" s="31"/>
      <c r="N577" s="31"/>
      <c r="O577" s="31"/>
      <c r="P577" s="31"/>
      <c r="Q577" s="31"/>
      <c r="R577" s="31"/>
      <c r="S577" s="31"/>
      <c r="T577" s="31"/>
      <c r="U577" s="31"/>
      <c r="V577" s="31"/>
      <c r="W577" s="31"/>
      <c r="X577" s="31"/>
      <c r="Y577" s="31"/>
      <c r="Z577" s="31"/>
    </row>
    <row r="578" ht="13.5" customHeight="1">
      <c r="A578" s="33" t="s">
        <v>236</v>
      </c>
      <c r="B578" s="33" t="s">
        <v>237</v>
      </c>
      <c r="C578" s="33" t="s">
        <v>27</v>
      </c>
      <c r="D578" s="33" t="s">
        <v>124</v>
      </c>
      <c r="E578" s="33" t="s">
        <v>67</v>
      </c>
      <c r="F578" s="33"/>
      <c r="G578" s="31"/>
      <c r="H578" s="31"/>
      <c r="I578" s="31"/>
      <c r="J578" s="31"/>
      <c r="K578" s="31"/>
      <c r="L578" s="31"/>
      <c r="M578" s="31"/>
      <c r="N578" s="31"/>
      <c r="O578" s="31"/>
      <c r="P578" s="31"/>
      <c r="Q578" s="31"/>
      <c r="R578" s="31"/>
      <c r="S578" s="31"/>
      <c r="T578" s="31"/>
      <c r="U578" s="31"/>
      <c r="V578" s="31"/>
      <c r="W578" s="31"/>
      <c r="X578" s="31"/>
      <c r="Y578" s="31"/>
      <c r="Z578" s="31"/>
    </row>
    <row r="579" ht="13.5" customHeight="1">
      <c r="A579" s="34" t="s">
        <v>30</v>
      </c>
      <c r="B579" s="35" t="s">
        <v>31</v>
      </c>
      <c r="C579" s="36">
        <v>45005.0</v>
      </c>
      <c r="D579" s="34" t="s">
        <v>32</v>
      </c>
      <c r="E579" s="35" t="s">
        <v>33</v>
      </c>
      <c r="F579" s="37"/>
      <c r="G579" s="31"/>
      <c r="H579" s="31"/>
      <c r="I579" s="31"/>
      <c r="J579" s="31"/>
      <c r="K579" s="31"/>
      <c r="L579" s="31"/>
      <c r="M579" s="31"/>
      <c r="N579" s="31"/>
      <c r="O579" s="31"/>
      <c r="P579" s="31"/>
      <c r="Q579" s="31"/>
      <c r="R579" s="31"/>
      <c r="S579" s="31"/>
      <c r="T579" s="31"/>
      <c r="U579" s="31"/>
      <c r="V579" s="31"/>
      <c r="W579" s="31"/>
      <c r="X579" s="31"/>
      <c r="Y579" s="31"/>
      <c r="Z579" s="31"/>
    </row>
    <row r="580" ht="13.5" customHeight="1">
      <c r="A580" s="38"/>
      <c r="B580" s="35" t="s">
        <v>34</v>
      </c>
      <c r="C580" s="33">
        <f>IF(C579="","",IF(AND(MONTH(C579)&gt;=1,MONTH(C579)&lt;=3),1,IF(AND(MONTH(C579)&gt;=4,MONTH(C579)&lt;=6),2,IF(AND(MONTH(C579)&gt;=7,MONTH(C579)&lt;=9),3,4))))</f>
        <v>1</v>
      </c>
      <c r="D580" s="38"/>
      <c r="E580" s="35" t="s">
        <v>35</v>
      </c>
      <c r="F580" s="37"/>
      <c r="G580" s="31"/>
      <c r="H580" s="31"/>
      <c r="I580" s="31"/>
      <c r="J580" s="31"/>
      <c r="K580" s="31"/>
      <c r="L580" s="31"/>
      <c r="M580" s="31"/>
      <c r="N580" s="31"/>
      <c r="O580" s="31"/>
      <c r="P580" s="31"/>
      <c r="Q580" s="31"/>
      <c r="R580" s="31"/>
      <c r="S580" s="31"/>
      <c r="T580" s="31"/>
      <c r="U580" s="31"/>
      <c r="V580" s="31"/>
      <c r="W580" s="31"/>
      <c r="X580" s="31"/>
      <c r="Y580" s="31"/>
      <c r="Z580" s="31"/>
    </row>
    <row r="581" ht="13.5" customHeight="1">
      <c r="A581" s="38"/>
      <c r="B581" s="35" t="s">
        <v>36</v>
      </c>
      <c r="C581" s="36">
        <v>45006.0</v>
      </c>
      <c r="D581" s="38"/>
      <c r="E581" s="35" t="s">
        <v>37</v>
      </c>
      <c r="F581" s="37"/>
      <c r="G581" s="31"/>
      <c r="H581" s="31"/>
      <c r="I581" s="31"/>
      <c r="J581" s="31"/>
      <c r="K581" s="31"/>
      <c r="L581" s="31"/>
      <c r="M581" s="31"/>
      <c r="N581" s="31"/>
      <c r="O581" s="31"/>
      <c r="P581" s="31"/>
      <c r="Q581" s="31"/>
      <c r="R581" s="31"/>
      <c r="S581" s="31"/>
      <c r="T581" s="31"/>
      <c r="U581" s="31"/>
      <c r="V581" s="31"/>
      <c r="W581" s="31"/>
      <c r="X581" s="31"/>
      <c r="Y581" s="31"/>
      <c r="Z581" s="31"/>
    </row>
    <row r="582" ht="13.5" customHeight="1">
      <c r="A582" s="39"/>
      <c r="B582" s="35" t="s">
        <v>34</v>
      </c>
      <c r="C582" s="33">
        <f>IF(C581="","",IF(AND(MONTH(C581)&gt;=1,MONTH(C581)&lt;=3),1,IF(AND(MONTH(C581)&gt;=4,MONTH(C581)&lt;=6),2,IF(AND(MONTH(C581)&gt;=7,MONTH(C581)&lt;=9),3,4))))</f>
        <v>1</v>
      </c>
      <c r="D582" s="39"/>
      <c r="E582" s="35" t="s">
        <v>38</v>
      </c>
      <c r="F582" s="37"/>
      <c r="G582" s="31"/>
      <c r="H582" s="31"/>
      <c r="I582" s="31"/>
      <c r="J582" s="31"/>
      <c r="K582" s="31"/>
      <c r="L582" s="31"/>
      <c r="M582" s="31"/>
      <c r="N582" s="31"/>
      <c r="O582" s="31"/>
      <c r="P582" s="31"/>
      <c r="Q582" s="31"/>
      <c r="R582" s="31"/>
      <c r="S582" s="31"/>
      <c r="T582" s="31"/>
      <c r="U582" s="31"/>
      <c r="V582" s="31"/>
      <c r="W582" s="31"/>
      <c r="X582" s="31"/>
      <c r="Y582" s="31"/>
      <c r="Z582" s="31"/>
    </row>
    <row r="583" ht="13.5" customHeight="1">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row>
    <row r="584" ht="13.5" customHeight="1">
      <c r="A584" s="40" t="s">
        <v>39</v>
      </c>
      <c r="B584" s="40" t="s">
        <v>40</v>
      </c>
      <c r="C584" s="40" t="s">
        <v>41</v>
      </c>
      <c r="D584" s="40" t="s">
        <v>42</v>
      </c>
      <c r="E584" s="40" t="s">
        <v>43</v>
      </c>
      <c r="F584" s="40" t="s">
        <v>44</v>
      </c>
      <c r="G584" s="31"/>
      <c r="H584" s="31"/>
      <c r="I584" s="31"/>
      <c r="J584" s="31"/>
      <c r="K584" s="31"/>
      <c r="L584" s="31"/>
      <c r="M584" s="31"/>
      <c r="N584" s="31"/>
      <c r="O584" s="31"/>
      <c r="P584" s="31"/>
      <c r="Q584" s="31"/>
      <c r="R584" s="31"/>
      <c r="S584" s="31"/>
      <c r="T584" s="31"/>
      <c r="U584" s="31"/>
      <c r="V584" s="31"/>
      <c r="W584" s="31"/>
      <c r="X584" s="31"/>
      <c r="Y584" s="31"/>
      <c r="Z584" s="31"/>
    </row>
    <row r="585" ht="13.5" customHeight="1">
      <c r="A585" s="41" t="s">
        <v>238</v>
      </c>
      <c r="B585" s="41" t="str">
        <f t="array" ref="B585">IFERROR(INDEX(#REF!,MATCH(INDIRECT(ADDRESS(ROW(),COLUMN()-1,4)),#REF!,0)),IF(INDIRECT(ADDRESS(ROW(),COLUMN()-1,4))="42191905","Gabinetes de tratamiento para uso médico",""))</f>
        <v>Gabinetes de tratamiento para uso médico</v>
      </c>
      <c r="C585" s="42" t="str">
        <f>IFERROR(VLOOKUP("UD",'Informacion '!P:Q,2,FALSE),"")</f>
        <v/>
      </c>
      <c r="D585" s="41">
        <v>4.0</v>
      </c>
      <c r="E585" s="43">
        <v>25000.0</v>
      </c>
      <c r="F585" s="43">
        <f>INDIRECT(ADDRESS(ROW(),COLUMN()-2,4))*INDIRECT(ADDRESS(ROW(),COLUMN()-1,4))</f>
        <v>100000</v>
      </c>
      <c r="G585" s="31"/>
      <c r="H585" s="31"/>
      <c r="I585" s="31"/>
      <c r="J585" s="31"/>
      <c r="K585" s="31"/>
      <c r="L585" s="31"/>
      <c r="M585" s="31"/>
      <c r="N585" s="31"/>
      <c r="O585" s="31"/>
      <c r="P585" s="31"/>
      <c r="Q585" s="31"/>
      <c r="R585" s="31"/>
      <c r="S585" s="31"/>
      <c r="T585" s="31"/>
      <c r="U585" s="31"/>
      <c r="V585" s="31"/>
      <c r="W585" s="31"/>
      <c r="X585" s="31"/>
      <c r="Y585" s="31"/>
      <c r="Z585" s="31"/>
    </row>
    <row r="586" ht="13.5" customHeight="1">
      <c r="A586" s="31"/>
      <c r="B586" s="31"/>
      <c r="C586" s="31"/>
      <c r="D586" s="31"/>
      <c r="E586" s="44" t="s">
        <v>63</v>
      </c>
      <c r="F586" s="45">
        <f>SUM(PACC!$F$585)</f>
        <v>100000</v>
      </c>
      <c r="G586" s="31"/>
      <c r="H586" s="31" t="str">
        <f>C578</f>
        <v>Bienes</v>
      </c>
      <c r="I586" s="31" t="str">
        <f>E578</f>
        <v>No</v>
      </c>
      <c r="J586" s="31" t="str">
        <f>D578</f>
        <v>Compras por debajo del Umbral</v>
      </c>
      <c r="K586" s="31"/>
      <c r="L586" s="31"/>
      <c r="M586" s="31"/>
      <c r="N586" s="31"/>
      <c r="O586" s="31"/>
      <c r="P586" s="31"/>
      <c r="Q586" s="31"/>
      <c r="R586" s="31"/>
      <c r="S586" s="31"/>
      <c r="T586" s="31"/>
      <c r="U586" s="31"/>
      <c r="V586" s="31"/>
      <c r="W586" s="31"/>
      <c r="X586" s="31"/>
      <c r="Y586" s="31"/>
      <c r="Z586" s="31"/>
    </row>
    <row r="587" ht="13.5" customHeight="1">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row>
    <row r="588" ht="33.75" customHeight="1">
      <c r="A588" s="32" t="s">
        <v>19</v>
      </c>
      <c r="B588" s="32" t="s">
        <v>20</v>
      </c>
      <c r="C588" s="32" t="s">
        <v>21</v>
      </c>
      <c r="D588" s="32" t="s">
        <v>22</v>
      </c>
      <c r="E588" s="32" t="s">
        <v>23</v>
      </c>
      <c r="F588" s="32" t="s">
        <v>24</v>
      </c>
      <c r="G588" s="31"/>
      <c r="H588" s="31"/>
      <c r="I588" s="31"/>
      <c r="J588" s="31"/>
      <c r="K588" s="31"/>
      <c r="L588" s="31"/>
      <c r="M588" s="31"/>
      <c r="N588" s="31"/>
      <c r="O588" s="31"/>
      <c r="P588" s="31"/>
      <c r="Q588" s="31"/>
      <c r="R588" s="31"/>
      <c r="S588" s="31"/>
      <c r="T588" s="31"/>
      <c r="U588" s="31"/>
      <c r="V588" s="31"/>
      <c r="W588" s="31"/>
      <c r="X588" s="31"/>
      <c r="Y588" s="31"/>
      <c r="Z588" s="31"/>
    </row>
    <row r="589" ht="13.5" customHeight="1">
      <c r="A589" s="33" t="s">
        <v>239</v>
      </c>
      <c r="B589" s="33" t="s">
        <v>240</v>
      </c>
      <c r="C589" s="33" t="s">
        <v>27</v>
      </c>
      <c r="D589" s="33" t="s">
        <v>124</v>
      </c>
      <c r="E589" s="33" t="s">
        <v>67</v>
      </c>
      <c r="F589" s="33"/>
      <c r="G589" s="31"/>
      <c r="H589" s="31"/>
      <c r="I589" s="31"/>
      <c r="J589" s="31"/>
      <c r="K589" s="31"/>
      <c r="L589" s="31"/>
      <c r="M589" s="31"/>
      <c r="N589" s="31"/>
      <c r="O589" s="31"/>
      <c r="P589" s="31"/>
      <c r="Q589" s="31"/>
      <c r="R589" s="31"/>
      <c r="S589" s="31"/>
      <c r="T589" s="31"/>
      <c r="U589" s="31"/>
      <c r="V589" s="31"/>
      <c r="W589" s="31"/>
      <c r="X589" s="31"/>
      <c r="Y589" s="31"/>
      <c r="Z589" s="31"/>
    </row>
    <row r="590" ht="13.5" customHeight="1">
      <c r="A590" s="34" t="s">
        <v>30</v>
      </c>
      <c r="B590" s="35" t="s">
        <v>31</v>
      </c>
      <c r="C590" s="36">
        <v>44971.0</v>
      </c>
      <c r="D590" s="34" t="s">
        <v>32</v>
      </c>
      <c r="E590" s="35" t="s">
        <v>33</v>
      </c>
      <c r="F590" s="37"/>
      <c r="G590" s="31"/>
      <c r="H590" s="31"/>
      <c r="I590" s="31"/>
      <c r="J590" s="31"/>
      <c r="K590" s="31"/>
      <c r="L590" s="31"/>
      <c r="M590" s="31"/>
      <c r="N590" s="31"/>
      <c r="O590" s="31"/>
      <c r="P590" s="31"/>
      <c r="Q590" s="31"/>
      <c r="R590" s="31"/>
      <c r="S590" s="31"/>
      <c r="T590" s="31"/>
      <c r="U590" s="31"/>
      <c r="V590" s="31"/>
      <c r="W590" s="31"/>
      <c r="X590" s="31"/>
      <c r="Y590" s="31"/>
      <c r="Z590" s="31"/>
    </row>
    <row r="591" ht="13.5" customHeight="1">
      <c r="A591" s="38"/>
      <c r="B591" s="35" t="s">
        <v>34</v>
      </c>
      <c r="C591" s="33">
        <f>IF(C590="","",IF(AND(MONTH(C590)&gt;=1,MONTH(C590)&lt;=3),1,IF(AND(MONTH(C590)&gt;=4,MONTH(C590)&lt;=6),2,IF(AND(MONTH(C590)&gt;=7,MONTH(C590)&lt;=9),3,4))))</f>
        <v>1</v>
      </c>
      <c r="D591" s="38"/>
      <c r="E591" s="35" t="s">
        <v>35</v>
      </c>
      <c r="F591" s="37"/>
      <c r="G591" s="31"/>
      <c r="H591" s="31"/>
      <c r="I591" s="31"/>
      <c r="J591" s="31"/>
      <c r="K591" s="31"/>
      <c r="L591" s="31"/>
      <c r="M591" s="31"/>
      <c r="N591" s="31"/>
      <c r="O591" s="31"/>
      <c r="P591" s="31"/>
      <c r="Q591" s="31"/>
      <c r="R591" s="31"/>
      <c r="S591" s="31"/>
      <c r="T591" s="31"/>
      <c r="U591" s="31"/>
      <c r="V591" s="31"/>
      <c r="W591" s="31"/>
      <c r="X591" s="31"/>
      <c r="Y591" s="31"/>
      <c r="Z591" s="31"/>
    </row>
    <row r="592" ht="13.5" customHeight="1">
      <c r="A592" s="38"/>
      <c r="B592" s="35" t="s">
        <v>36</v>
      </c>
      <c r="C592" s="36">
        <v>44972.0</v>
      </c>
      <c r="D592" s="38"/>
      <c r="E592" s="35" t="s">
        <v>37</v>
      </c>
      <c r="F592" s="37"/>
      <c r="G592" s="31"/>
      <c r="H592" s="31"/>
      <c r="I592" s="31"/>
      <c r="J592" s="31"/>
      <c r="K592" s="31"/>
      <c r="L592" s="31"/>
      <c r="M592" s="31"/>
      <c r="N592" s="31"/>
      <c r="O592" s="31"/>
      <c r="P592" s="31"/>
      <c r="Q592" s="31"/>
      <c r="R592" s="31"/>
      <c r="S592" s="31"/>
      <c r="T592" s="31"/>
      <c r="U592" s="31"/>
      <c r="V592" s="31"/>
      <c r="W592" s="31"/>
      <c r="X592" s="31"/>
      <c r="Y592" s="31"/>
      <c r="Z592" s="31"/>
    </row>
    <row r="593" ht="13.5" customHeight="1">
      <c r="A593" s="39"/>
      <c r="B593" s="35" t="s">
        <v>34</v>
      </c>
      <c r="C593" s="33">
        <f>IF(C592="","",IF(AND(MONTH(C592)&gt;=1,MONTH(C592)&lt;=3),1,IF(AND(MONTH(C592)&gt;=4,MONTH(C592)&lt;=6),2,IF(AND(MONTH(C592)&gt;=7,MONTH(C592)&lt;=9),3,4))))</f>
        <v>1</v>
      </c>
      <c r="D593" s="39"/>
      <c r="E593" s="35" t="s">
        <v>38</v>
      </c>
      <c r="F593" s="37"/>
      <c r="G593" s="31"/>
      <c r="H593" s="31"/>
      <c r="I593" s="31"/>
      <c r="J593" s="31"/>
      <c r="K593" s="31"/>
      <c r="L593" s="31"/>
      <c r="M593" s="31"/>
      <c r="N593" s="31"/>
      <c r="O593" s="31"/>
      <c r="P593" s="31"/>
      <c r="Q593" s="31"/>
      <c r="R593" s="31"/>
      <c r="S593" s="31"/>
      <c r="T593" s="31"/>
      <c r="U593" s="31"/>
      <c r="V593" s="31"/>
      <c r="W593" s="31"/>
      <c r="X593" s="31"/>
      <c r="Y593" s="31"/>
      <c r="Z593" s="31"/>
    </row>
    <row r="594" ht="13.5" customHeight="1">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row>
    <row r="595" ht="13.5" customHeight="1">
      <c r="A595" s="40" t="s">
        <v>39</v>
      </c>
      <c r="B595" s="40" t="s">
        <v>40</v>
      </c>
      <c r="C595" s="40" t="s">
        <v>41</v>
      </c>
      <c r="D595" s="40" t="s">
        <v>42</v>
      </c>
      <c r="E595" s="40" t="s">
        <v>43</v>
      </c>
      <c r="F595" s="40" t="s">
        <v>44</v>
      </c>
      <c r="G595" s="31"/>
      <c r="H595" s="31"/>
      <c r="I595" s="31"/>
      <c r="J595" s="31"/>
      <c r="K595" s="31"/>
      <c r="L595" s="31"/>
      <c r="M595" s="31"/>
      <c r="N595" s="31"/>
      <c r="O595" s="31"/>
      <c r="P595" s="31"/>
      <c r="Q595" s="31"/>
      <c r="R595" s="31"/>
      <c r="S595" s="31"/>
      <c r="T595" s="31"/>
      <c r="U595" s="31"/>
      <c r="V595" s="31"/>
      <c r="W595" s="31"/>
      <c r="X595" s="31"/>
      <c r="Y595" s="31"/>
      <c r="Z595" s="31"/>
    </row>
    <row r="596" ht="13.5" customHeight="1">
      <c r="A596" s="41" t="s">
        <v>241</v>
      </c>
      <c r="B596" s="41" t="str">
        <f t="shared" ref="B596:B597" si="72">IFERROR(INDEX(#REF!,MATCH(INDIRECT(ADDRESS(ROW(),COLUMN()-1,4)),#REF!,0)),IF(INDIRECT(ADDRESS(ROW(),COLUMN()-1,4))="46191601","Extintores",""))</f>
        <v>Extintores</v>
      </c>
      <c r="C596" s="42" t="str">
        <f t="shared" ref="C596:C597" si="73">IFERROR(VLOOKUP("UD",'Informacion '!P:Q,2,FALSE),"")</f>
        <v/>
      </c>
      <c r="D596" s="41">
        <v>15.0</v>
      </c>
      <c r="E596" s="43">
        <v>5000.0</v>
      </c>
      <c r="F596" s="43">
        <f t="shared" ref="F596:F597" si="74">INDIRECT(ADDRESS(ROW(),COLUMN()-2,4))*INDIRECT(ADDRESS(ROW(),COLUMN()-1,4))</f>
        <v>75000</v>
      </c>
      <c r="G596" s="31"/>
      <c r="H596" s="31"/>
      <c r="I596" s="31"/>
      <c r="J596" s="31"/>
      <c r="K596" s="31"/>
      <c r="L596" s="31"/>
      <c r="M596" s="31"/>
      <c r="N596" s="31"/>
      <c r="O596" s="31"/>
      <c r="P596" s="31"/>
      <c r="Q596" s="31"/>
      <c r="R596" s="31"/>
      <c r="S596" s="31"/>
      <c r="T596" s="31"/>
      <c r="U596" s="31"/>
      <c r="V596" s="31"/>
      <c r="W596" s="31"/>
      <c r="X596" s="31"/>
      <c r="Y596" s="31"/>
      <c r="Z596" s="31"/>
    </row>
    <row r="597" ht="13.5" customHeight="1">
      <c r="A597" s="41" t="s">
        <v>241</v>
      </c>
      <c r="B597" s="41" t="str">
        <f t="shared" si="72"/>
        <v>Extintores</v>
      </c>
      <c r="C597" s="42" t="str">
        <f t="shared" si="73"/>
        <v/>
      </c>
      <c r="D597" s="41">
        <v>4.0</v>
      </c>
      <c r="E597" s="43">
        <v>6250.0</v>
      </c>
      <c r="F597" s="43">
        <f t="shared" si="74"/>
        <v>25000</v>
      </c>
      <c r="G597" s="31"/>
      <c r="H597" s="31"/>
      <c r="I597" s="31"/>
      <c r="J597" s="31"/>
      <c r="K597" s="31"/>
      <c r="L597" s="31"/>
      <c r="M597" s="31"/>
      <c r="N597" s="31"/>
      <c r="O597" s="31"/>
      <c r="P597" s="31"/>
      <c r="Q597" s="31"/>
      <c r="R597" s="31"/>
      <c r="S597" s="31"/>
      <c r="T597" s="31"/>
      <c r="U597" s="31"/>
      <c r="V597" s="31"/>
      <c r="W597" s="31"/>
      <c r="X597" s="31"/>
      <c r="Y597" s="31"/>
      <c r="Z597" s="31"/>
    </row>
    <row r="598" ht="13.5" customHeight="1">
      <c r="A598" s="31"/>
      <c r="B598" s="31"/>
      <c r="C598" s="31"/>
      <c r="D598" s="31"/>
      <c r="E598" s="44" t="s">
        <v>63</v>
      </c>
      <c r="F598" s="45">
        <f>SUM(PACC!$F$596:$F$597)</f>
        <v>100000</v>
      </c>
      <c r="G598" s="31"/>
      <c r="H598" s="31" t="str">
        <f>C589</f>
        <v>Bienes</v>
      </c>
      <c r="I598" s="31" t="str">
        <f>E589</f>
        <v>No</v>
      </c>
      <c r="J598" s="31" t="str">
        <f>D589</f>
        <v>Compras por debajo del Umbral</v>
      </c>
      <c r="K598" s="31"/>
      <c r="L598" s="31"/>
      <c r="M598" s="31"/>
      <c r="N598" s="31"/>
      <c r="O598" s="31"/>
      <c r="P598" s="31"/>
      <c r="Q598" s="31"/>
      <c r="R598" s="31"/>
      <c r="S598" s="31"/>
      <c r="T598" s="31"/>
      <c r="U598" s="31"/>
      <c r="V598" s="31"/>
      <c r="W598" s="31"/>
      <c r="X598" s="31"/>
      <c r="Y598" s="31"/>
      <c r="Z598" s="31"/>
    </row>
    <row r="599" ht="13.5" customHeight="1">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row>
    <row r="600" ht="33.75" customHeight="1">
      <c r="A600" s="32" t="s">
        <v>19</v>
      </c>
      <c r="B600" s="32" t="s">
        <v>20</v>
      </c>
      <c r="C600" s="32" t="s">
        <v>21</v>
      </c>
      <c r="D600" s="32" t="s">
        <v>22</v>
      </c>
      <c r="E600" s="32" t="s">
        <v>23</v>
      </c>
      <c r="F600" s="32" t="s">
        <v>24</v>
      </c>
      <c r="G600" s="31"/>
      <c r="H600" s="31"/>
      <c r="I600" s="31"/>
      <c r="J600" s="31"/>
      <c r="K600" s="31"/>
      <c r="L600" s="31"/>
      <c r="M600" s="31"/>
      <c r="N600" s="31"/>
      <c r="O600" s="31"/>
      <c r="P600" s="31"/>
      <c r="Q600" s="31"/>
      <c r="R600" s="31"/>
      <c r="S600" s="31"/>
      <c r="T600" s="31"/>
      <c r="U600" s="31"/>
      <c r="V600" s="31"/>
      <c r="W600" s="31"/>
      <c r="X600" s="31"/>
      <c r="Y600" s="31"/>
      <c r="Z600" s="31"/>
    </row>
    <row r="601" ht="13.5" customHeight="1">
      <c r="A601" s="33" t="s">
        <v>242</v>
      </c>
      <c r="B601" s="33" t="s">
        <v>243</v>
      </c>
      <c r="C601" s="33" t="s">
        <v>27</v>
      </c>
      <c r="D601" s="33" t="s">
        <v>124</v>
      </c>
      <c r="E601" s="33" t="s">
        <v>67</v>
      </c>
      <c r="F601" s="33"/>
      <c r="G601" s="31"/>
      <c r="H601" s="31"/>
      <c r="I601" s="31"/>
      <c r="J601" s="31"/>
      <c r="K601" s="31"/>
      <c r="L601" s="31"/>
      <c r="M601" s="31"/>
      <c r="N601" s="31"/>
      <c r="O601" s="31"/>
      <c r="P601" s="31"/>
      <c r="Q601" s="31"/>
      <c r="R601" s="31"/>
      <c r="S601" s="31"/>
      <c r="T601" s="31"/>
      <c r="U601" s="31"/>
      <c r="V601" s="31"/>
      <c r="W601" s="31"/>
      <c r="X601" s="31"/>
      <c r="Y601" s="31"/>
      <c r="Z601" s="31"/>
    </row>
    <row r="602" ht="13.5" customHeight="1">
      <c r="A602" s="34" t="s">
        <v>30</v>
      </c>
      <c r="B602" s="35" t="s">
        <v>31</v>
      </c>
      <c r="C602" s="36">
        <v>45033.0</v>
      </c>
      <c r="D602" s="34" t="s">
        <v>32</v>
      </c>
      <c r="E602" s="35" t="s">
        <v>33</v>
      </c>
      <c r="F602" s="37"/>
      <c r="G602" s="31"/>
      <c r="H602" s="31"/>
      <c r="I602" s="31"/>
      <c r="J602" s="31"/>
      <c r="K602" s="31"/>
      <c r="L602" s="31"/>
      <c r="M602" s="31"/>
      <c r="N602" s="31"/>
      <c r="O602" s="31"/>
      <c r="P602" s="31"/>
      <c r="Q602" s="31"/>
      <c r="R602" s="31"/>
      <c r="S602" s="31"/>
      <c r="T602" s="31"/>
      <c r="U602" s="31"/>
      <c r="V602" s="31"/>
      <c r="W602" s="31"/>
      <c r="X602" s="31"/>
      <c r="Y602" s="31"/>
      <c r="Z602" s="31"/>
    </row>
    <row r="603" ht="13.5" customHeight="1">
      <c r="A603" s="38"/>
      <c r="B603" s="35" t="s">
        <v>34</v>
      </c>
      <c r="C603" s="33">
        <f>IF(C602="","",IF(AND(MONTH(C602)&gt;=1,MONTH(C602)&lt;=3),1,IF(AND(MONTH(C602)&gt;=4,MONTH(C602)&lt;=6),2,IF(AND(MONTH(C602)&gt;=7,MONTH(C602)&lt;=9),3,4))))</f>
        <v>2</v>
      </c>
      <c r="D603" s="38"/>
      <c r="E603" s="35" t="s">
        <v>35</v>
      </c>
      <c r="F603" s="37"/>
      <c r="G603" s="31"/>
      <c r="H603" s="31"/>
      <c r="I603" s="31"/>
      <c r="J603" s="31"/>
      <c r="K603" s="31"/>
      <c r="L603" s="31"/>
      <c r="M603" s="31"/>
      <c r="N603" s="31"/>
      <c r="O603" s="31"/>
      <c r="P603" s="31"/>
      <c r="Q603" s="31"/>
      <c r="R603" s="31"/>
      <c r="S603" s="31"/>
      <c r="T603" s="31"/>
      <c r="U603" s="31"/>
      <c r="V603" s="31"/>
      <c r="W603" s="31"/>
      <c r="X603" s="31"/>
      <c r="Y603" s="31"/>
      <c r="Z603" s="31"/>
    </row>
    <row r="604" ht="13.5" customHeight="1">
      <c r="A604" s="38"/>
      <c r="B604" s="35" t="s">
        <v>36</v>
      </c>
      <c r="C604" s="36">
        <v>45034.0</v>
      </c>
      <c r="D604" s="38"/>
      <c r="E604" s="35" t="s">
        <v>37</v>
      </c>
      <c r="F604" s="37"/>
      <c r="G604" s="31"/>
      <c r="H604" s="31"/>
      <c r="I604" s="31"/>
      <c r="J604" s="31"/>
      <c r="K604" s="31"/>
      <c r="L604" s="31"/>
      <c r="M604" s="31"/>
      <c r="N604" s="31"/>
      <c r="O604" s="31"/>
      <c r="P604" s="31"/>
      <c r="Q604" s="31"/>
      <c r="R604" s="31"/>
      <c r="S604" s="31"/>
      <c r="T604" s="31"/>
      <c r="U604" s="31"/>
      <c r="V604" s="31"/>
      <c r="W604" s="31"/>
      <c r="X604" s="31"/>
      <c r="Y604" s="31"/>
      <c r="Z604" s="31"/>
    </row>
    <row r="605" ht="13.5" customHeight="1">
      <c r="A605" s="39"/>
      <c r="B605" s="35" t="s">
        <v>34</v>
      </c>
      <c r="C605" s="33">
        <f>IF(C604="","",IF(AND(MONTH(C604)&gt;=1,MONTH(C604)&lt;=3),1,IF(AND(MONTH(C604)&gt;=4,MONTH(C604)&lt;=6),2,IF(AND(MONTH(C604)&gt;=7,MONTH(C604)&lt;=9),3,4))))</f>
        <v>2</v>
      </c>
      <c r="D605" s="39"/>
      <c r="E605" s="35" t="s">
        <v>38</v>
      </c>
      <c r="F605" s="37"/>
      <c r="G605" s="31"/>
      <c r="H605" s="31"/>
      <c r="I605" s="31"/>
      <c r="J605" s="31"/>
      <c r="K605" s="31"/>
      <c r="L605" s="31"/>
      <c r="M605" s="31"/>
      <c r="N605" s="31"/>
      <c r="O605" s="31"/>
      <c r="P605" s="31"/>
      <c r="Q605" s="31"/>
      <c r="R605" s="31"/>
      <c r="S605" s="31"/>
      <c r="T605" s="31"/>
      <c r="U605" s="31"/>
      <c r="V605" s="31"/>
      <c r="W605" s="31"/>
      <c r="X605" s="31"/>
      <c r="Y605" s="31"/>
      <c r="Z605" s="31"/>
    </row>
    <row r="606" ht="13.5" customHeight="1">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row>
    <row r="607" ht="13.5" customHeight="1">
      <c r="A607" s="40" t="s">
        <v>39</v>
      </c>
      <c r="B607" s="40" t="s">
        <v>40</v>
      </c>
      <c r="C607" s="40" t="s">
        <v>41</v>
      </c>
      <c r="D607" s="40" t="s">
        <v>42</v>
      </c>
      <c r="E607" s="40" t="s">
        <v>43</v>
      </c>
      <c r="F607" s="40" t="s">
        <v>44</v>
      </c>
      <c r="G607" s="31"/>
      <c r="H607" s="31"/>
      <c r="I607" s="31"/>
      <c r="J607" s="31"/>
      <c r="K607" s="31"/>
      <c r="L607" s="31"/>
      <c r="M607" s="31"/>
      <c r="N607" s="31"/>
      <c r="O607" s="31"/>
      <c r="P607" s="31"/>
      <c r="Q607" s="31"/>
      <c r="R607" s="31"/>
      <c r="S607" s="31"/>
      <c r="T607" s="31"/>
      <c r="U607" s="31"/>
      <c r="V607" s="31"/>
      <c r="W607" s="31"/>
      <c r="X607" s="31"/>
      <c r="Y607" s="31"/>
      <c r="Z607" s="31"/>
    </row>
    <row r="608" ht="13.5" customHeight="1">
      <c r="A608" s="41" t="s">
        <v>244</v>
      </c>
      <c r="B608" s="41" t="str">
        <f t="array" ref="B608">IFERROR(INDEX(#REF!,MATCH(INDIRECT(ADDRESS(ROW(),COLUMN()-1,4)),#REF!,0)),IF(INDIRECT(ADDRESS(ROW(),COLUMN()-1,4))="30152001","Cercado de metal",""))</f>
        <v>Cercado de metal</v>
      </c>
      <c r="C608" s="42" t="str">
        <f>IFERROR(VLOOKUP("UD",'Informacion '!P:Q,2,FALSE),"")</f>
        <v/>
      </c>
      <c r="D608" s="41">
        <v>4.0</v>
      </c>
      <c r="E608" s="43">
        <v>25000.0</v>
      </c>
      <c r="F608" s="43">
        <f>INDIRECT(ADDRESS(ROW(),COLUMN()-2,4))*INDIRECT(ADDRESS(ROW(),COLUMN()-1,4))</f>
        <v>100000</v>
      </c>
      <c r="G608" s="31"/>
      <c r="H608" s="31"/>
      <c r="I608" s="31"/>
      <c r="J608" s="31"/>
      <c r="K608" s="31"/>
      <c r="L608" s="31"/>
      <c r="M608" s="31"/>
      <c r="N608" s="31"/>
      <c r="O608" s="31"/>
      <c r="P608" s="31"/>
      <c r="Q608" s="31"/>
      <c r="R608" s="31"/>
      <c r="S608" s="31"/>
      <c r="T608" s="31"/>
      <c r="U608" s="31"/>
      <c r="V608" s="31"/>
      <c r="W608" s="31"/>
      <c r="X608" s="31"/>
      <c r="Y608" s="31"/>
      <c r="Z608" s="31"/>
    </row>
    <row r="609" ht="13.5" customHeight="1">
      <c r="A609" s="31"/>
      <c r="B609" s="31"/>
      <c r="C609" s="31"/>
      <c r="D609" s="31"/>
      <c r="E609" s="44" t="s">
        <v>63</v>
      </c>
      <c r="F609" s="45">
        <f>SUM(PACC!$F$608)</f>
        <v>100000</v>
      </c>
      <c r="G609" s="31"/>
      <c r="H609" s="31" t="str">
        <f>C601</f>
        <v>Bienes</v>
      </c>
      <c r="I609" s="31" t="str">
        <f>E601</f>
        <v>No</v>
      </c>
      <c r="J609" s="31" t="str">
        <f>D601</f>
        <v>Compras por debajo del Umbral</v>
      </c>
      <c r="K609" s="31"/>
      <c r="L609" s="31"/>
      <c r="M609" s="31"/>
      <c r="N609" s="31"/>
      <c r="O609" s="31"/>
      <c r="P609" s="31"/>
      <c r="Q609" s="31"/>
      <c r="R609" s="31"/>
      <c r="S609" s="31"/>
      <c r="T609" s="31"/>
      <c r="U609" s="31"/>
      <c r="V609" s="31"/>
      <c r="W609" s="31"/>
      <c r="X609" s="31"/>
      <c r="Y609" s="31"/>
      <c r="Z609" s="31"/>
    </row>
    <row r="610" ht="13.5" customHeight="1">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row>
    <row r="611" ht="33.75" customHeight="1">
      <c r="A611" s="32" t="s">
        <v>19</v>
      </c>
      <c r="B611" s="32" t="s">
        <v>20</v>
      </c>
      <c r="C611" s="32" t="s">
        <v>21</v>
      </c>
      <c r="D611" s="32" t="s">
        <v>22</v>
      </c>
      <c r="E611" s="32" t="s">
        <v>23</v>
      </c>
      <c r="F611" s="32" t="s">
        <v>24</v>
      </c>
      <c r="G611" s="31"/>
      <c r="H611" s="31"/>
      <c r="I611" s="31"/>
      <c r="J611" s="31"/>
      <c r="K611" s="31"/>
      <c r="L611" s="31"/>
      <c r="M611" s="31"/>
      <c r="N611" s="31"/>
      <c r="O611" s="31"/>
      <c r="P611" s="31"/>
      <c r="Q611" s="31"/>
      <c r="R611" s="31"/>
      <c r="S611" s="31"/>
      <c r="T611" s="31"/>
      <c r="U611" s="31"/>
      <c r="V611" s="31"/>
      <c r="W611" s="31"/>
      <c r="X611" s="31"/>
      <c r="Y611" s="31"/>
      <c r="Z611" s="31"/>
    </row>
    <row r="612" ht="13.5" customHeight="1">
      <c r="A612" s="33" t="s">
        <v>245</v>
      </c>
      <c r="B612" s="33" t="s">
        <v>246</v>
      </c>
      <c r="C612" s="33" t="s">
        <v>27</v>
      </c>
      <c r="D612" s="33" t="s">
        <v>124</v>
      </c>
      <c r="E612" s="33" t="s">
        <v>67</v>
      </c>
      <c r="F612" s="33"/>
      <c r="G612" s="31"/>
      <c r="H612" s="31"/>
      <c r="I612" s="31"/>
      <c r="J612" s="31"/>
      <c r="K612" s="31"/>
      <c r="L612" s="31"/>
      <c r="M612" s="31"/>
      <c r="N612" s="31"/>
      <c r="O612" s="31"/>
      <c r="P612" s="31"/>
      <c r="Q612" s="31"/>
      <c r="R612" s="31"/>
      <c r="S612" s="31"/>
      <c r="T612" s="31"/>
      <c r="U612" s="31"/>
      <c r="V612" s="31"/>
      <c r="W612" s="31"/>
      <c r="X612" s="31"/>
      <c r="Y612" s="31"/>
      <c r="Z612" s="31"/>
    </row>
    <row r="613" ht="13.5" customHeight="1">
      <c r="A613" s="34" t="s">
        <v>30</v>
      </c>
      <c r="B613" s="35" t="s">
        <v>31</v>
      </c>
      <c r="C613" s="36">
        <v>45007.0</v>
      </c>
      <c r="D613" s="34" t="s">
        <v>32</v>
      </c>
      <c r="E613" s="35" t="s">
        <v>33</v>
      </c>
      <c r="F613" s="37"/>
      <c r="G613" s="31"/>
      <c r="H613" s="31"/>
      <c r="I613" s="31"/>
      <c r="J613" s="31"/>
      <c r="K613" s="31"/>
      <c r="L613" s="31"/>
      <c r="M613" s="31"/>
      <c r="N613" s="31"/>
      <c r="O613" s="31"/>
      <c r="P613" s="31"/>
      <c r="Q613" s="31"/>
      <c r="R613" s="31"/>
      <c r="S613" s="31"/>
      <c r="T613" s="31"/>
      <c r="U613" s="31"/>
      <c r="V613" s="31"/>
      <c r="W613" s="31"/>
      <c r="X613" s="31"/>
      <c r="Y613" s="31"/>
      <c r="Z613" s="31"/>
    </row>
    <row r="614" ht="13.5" customHeight="1">
      <c r="A614" s="38"/>
      <c r="B614" s="35" t="s">
        <v>34</v>
      </c>
      <c r="C614" s="33">
        <f>IF(C613="","",IF(AND(MONTH(C613)&gt;=1,MONTH(C613)&lt;=3),1,IF(AND(MONTH(C613)&gt;=4,MONTH(C613)&lt;=6),2,IF(AND(MONTH(C613)&gt;=7,MONTH(C613)&lt;=9),3,4))))</f>
        <v>1</v>
      </c>
      <c r="D614" s="38"/>
      <c r="E614" s="35" t="s">
        <v>35</v>
      </c>
      <c r="F614" s="37"/>
      <c r="G614" s="31"/>
      <c r="H614" s="31"/>
      <c r="I614" s="31"/>
      <c r="J614" s="31"/>
      <c r="K614" s="31"/>
      <c r="L614" s="31"/>
      <c r="M614" s="31"/>
      <c r="N614" s="31"/>
      <c r="O614" s="31"/>
      <c r="P614" s="31"/>
      <c r="Q614" s="31"/>
      <c r="R614" s="31"/>
      <c r="S614" s="31"/>
      <c r="T614" s="31"/>
      <c r="U614" s="31"/>
      <c r="V614" s="31"/>
      <c r="W614" s="31"/>
      <c r="X614" s="31"/>
      <c r="Y614" s="31"/>
      <c r="Z614" s="31"/>
    </row>
    <row r="615" ht="13.5" customHeight="1">
      <c r="A615" s="38"/>
      <c r="B615" s="35" t="s">
        <v>36</v>
      </c>
      <c r="C615" s="36">
        <v>45008.0</v>
      </c>
      <c r="D615" s="38"/>
      <c r="E615" s="35" t="s">
        <v>37</v>
      </c>
      <c r="F615" s="37"/>
      <c r="G615" s="31"/>
      <c r="H615" s="31"/>
      <c r="I615" s="31"/>
      <c r="J615" s="31"/>
      <c r="K615" s="31"/>
      <c r="L615" s="31"/>
      <c r="M615" s="31"/>
      <c r="N615" s="31"/>
      <c r="O615" s="31"/>
      <c r="P615" s="31"/>
      <c r="Q615" s="31"/>
      <c r="R615" s="31"/>
      <c r="S615" s="31"/>
      <c r="T615" s="31"/>
      <c r="U615" s="31"/>
      <c r="V615" s="31"/>
      <c r="W615" s="31"/>
      <c r="X615" s="31"/>
      <c r="Y615" s="31"/>
      <c r="Z615" s="31"/>
    </row>
    <row r="616" ht="13.5" customHeight="1">
      <c r="A616" s="39"/>
      <c r="B616" s="35" t="s">
        <v>34</v>
      </c>
      <c r="C616" s="33">
        <f>IF(C615="","",IF(AND(MONTH(C615)&gt;=1,MONTH(C615)&lt;=3),1,IF(AND(MONTH(C615)&gt;=4,MONTH(C615)&lt;=6),2,IF(AND(MONTH(C615)&gt;=7,MONTH(C615)&lt;=9),3,4))))</f>
        <v>1</v>
      </c>
      <c r="D616" s="39"/>
      <c r="E616" s="35" t="s">
        <v>38</v>
      </c>
      <c r="F616" s="37"/>
      <c r="G616" s="31"/>
      <c r="H616" s="31"/>
      <c r="I616" s="31"/>
      <c r="J616" s="31"/>
      <c r="K616" s="31"/>
      <c r="L616" s="31"/>
      <c r="M616" s="31"/>
      <c r="N616" s="31"/>
      <c r="O616" s="31"/>
      <c r="P616" s="31"/>
      <c r="Q616" s="31"/>
      <c r="R616" s="31"/>
      <c r="S616" s="31"/>
      <c r="T616" s="31"/>
      <c r="U616" s="31"/>
      <c r="V616" s="31"/>
      <c r="W616" s="31"/>
      <c r="X616" s="31"/>
      <c r="Y616" s="31"/>
      <c r="Z616" s="31"/>
    </row>
    <row r="617" ht="13.5" customHeight="1">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row>
    <row r="618" ht="13.5" customHeight="1">
      <c r="A618" s="40" t="s">
        <v>39</v>
      </c>
      <c r="B618" s="40" t="s">
        <v>40</v>
      </c>
      <c r="C618" s="40" t="s">
        <v>41</v>
      </c>
      <c r="D618" s="40" t="s">
        <v>42</v>
      </c>
      <c r="E618" s="40" t="s">
        <v>43</v>
      </c>
      <c r="F618" s="40" t="s">
        <v>44</v>
      </c>
      <c r="G618" s="31"/>
      <c r="H618" s="31"/>
      <c r="I618" s="31"/>
      <c r="J618" s="31"/>
      <c r="K618" s="31"/>
      <c r="L618" s="31"/>
      <c r="M618" s="31"/>
      <c r="N618" s="31"/>
      <c r="O618" s="31"/>
      <c r="P618" s="31"/>
      <c r="Q618" s="31"/>
      <c r="R618" s="31"/>
      <c r="S618" s="31"/>
      <c r="T618" s="31"/>
      <c r="U618" s="31"/>
      <c r="V618" s="31"/>
      <c r="W618" s="31"/>
      <c r="X618" s="31"/>
      <c r="Y618" s="31"/>
      <c r="Z618" s="31"/>
    </row>
    <row r="619" ht="13.5" customHeight="1">
      <c r="A619" s="41" t="s">
        <v>247</v>
      </c>
      <c r="B619" s="41" t="str">
        <f t="array" ref="B619">IFERROR(INDEX(#REF!,MATCH(INDIRECT(ADDRESS(ROW(),COLUMN()-1,4)),#REF!,0)),IF(INDIRECT(ADDRESS(ROW(),COLUMN()-1,4))="45101515","Impresora básica",""))</f>
        <v>Impresora básica</v>
      </c>
      <c r="C619" s="42" t="str">
        <f>IFERROR(VLOOKUP("UD",'Informacion '!P:Q,2,FALSE),"")</f>
        <v/>
      </c>
      <c r="D619" s="41">
        <v>2.0</v>
      </c>
      <c r="E619" s="43">
        <v>30000.0</v>
      </c>
      <c r="F619" s="43">
        <f>INDIRECT(ADDRESS(ROW(),COLUMN()-2,4))*INDIRECT(ADDRESS(ROW(),COLUMN()-1,4))</f>
        <v>60000</v>
      </c>
      <c r="G619" s="31"/>
      <c r="H619" s="31"/>
      <c r="I619" s="31"/>
      <c r="J619" s="31"/>
      <c r="K619" s="31"/>
      <c r="L619" s="31"/>
      <c r="M619" s="31"/>
      <c r="N619" s="31"/>
      <c r="O619" s="31"/>
      <c r="P619" s="31"/>
      <c r="Q619" s="31"/>
      <c r="R619" s="31"/>
      <c r="S619" s="31"/>
      <c r="T619" s="31"/>
      <c r="U619" s="31"/>
      <c r="V619" s="31"/>
      <c r="W619" s="31"/>
      <c r="X619" s="31"/>
      <c r="Y619" s="31"/>
      <c r="Z619" s="31"/>
    </row>
    <row r="620" ht="13.5" customHeight="1">
      <c r="A620" s="31"/>
      <c r="B620" s="31"/>
      <c r="C620" s="31"/>
      <c r="D620" s="31"/>
      <c r="E620" s="44" t="s">
        <v>63</v>
      </c>
      <c r="F620" s="45">
        <f>SUM(PACC!$F$619)</f>
        <v>60000</v>
      </c>
      <c r="G620" s="31"/>
      <c r="H620" s="31" t="str">
        <f>C612</f>
        <v>Bienes</v>
      </c>
      <c r="I620" s="31" t="str">
        <f>E612</f>
        <v>No</v>
      </c>
      <c r="J620" s="31" t="str">
        <f>D612</f>
        <v>Compras por debajo del Umbral</v>
      </c>
      <c r="K620" s="31"/>
      <c r="L620" s="31"/>
      <c r="M620" s="31"/>
      <c r="N620" s="31"/>
      <c r="O620" s="31"/>
      <c r="P620" s="31"/>
      <c r="Q620" s="31"/>
      <c r="R620" s="31"/>
      <c r="S620" s="31"/>
      <c r="T620" s="31"/>
      <c r="U620" s="31"/>
      <c r="V620" s="31"/>
      <c r="W620" s="31"/>
      <c r="X620" s="31"/>
      <c r="Y620" s="31"/>
      <c r="Z620" s="31"/>
    </row>
    <row r="621" ht="13.5" customHeight="1">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row>
    <row r="622" ht="33.75" customHeight="1">
      <c r="A622" s="32" t="s">
        <v>19</v>
      </c>
      <c r="B622" s="32" t="s">
        <v>20</v>
      </c>
      <c r="C622" s="32" t="s">
        <v>21</v>
      </c>
      <c r="D622" s="32" t="s">
        <v>22</v>
      </c>
      <c r="E622" s="32" t="s">
        <v>23</v>
      </c>
      <c r="F622" s="32" t="s">
        <v>24</v>
      </c>
      <c r="G622" s="31"/>
      <c r="H622" s="31"/>
      <c r="I622" s="31"/>
      <c r="J622" s="31"/>
      <c r="K622" s="31"/>
      <c r="L622" s="31"/>
      <c r="M622" s="31"/>
      <c r="N622" s="31"/>
      <c r="O622" s="31"/>
      <c r="P622" s="31"/>
      <c r="Q622" s="31"/>
      <c r="R622" s="31"/>
      <c r="S622" s="31"/>
      <c r="T622" s="31"/>
      <c r="U622" s="31"/>
      <c r="V622" s="31"/>
      <c r="W622" s="31"/>
      <c r="X622" s="31"/>
      <c r="Y622" s="31"/>
      <c r="Z622" s="31"/>
    </row>
    <row r="623" ht="13.5" customHeight="1">
      <c r="A623" s="33" t="s">
        <v>248</v>
      </c>
      <c r="B623" s="33" t="s">
        <v>249</v>
      </c>
      <c r="C623" s="33" t="s">
        <v>27</v>
      </c>
      <c r="D623" s="33" t="s">
        <v>124</v>
      </c>
      <c r="E623" s="33" t="s">
        <v>67</v>
      </c>
      <c r="F623" s="33"/>
      <c r="G623" s="31"/>
      <c r="H623" s="31"/>
      <c r="I623" s="31"/>
      <c r="J623" s="31"/>
      <c r="K623" s="31"/>
      <c r="L623" s="31"/>
      <c r="M623" s="31"/>
      <c r="N623" s="31"/>
      <c r="O623" s="31"/>
      <c r="P623" s="31"/>
      <c r="Q623" s="31"/>
      <c r="R623" s="31"/>
      <c r="S623" s="31"/>
      <c r="T623" s="31"/>
      <c r="U623" s="31"/>
      <c r="V623" s="31"/>
      <c r="W623" s="31"/>
      <c r="X623" s="31"/>
      <c r="Y623" s="31"/>
      <c r="Z623" s="31"/>
    </row>
    <row r="624" ht="13.5" customHeight="1">
      <c r="A624" s="34" t="s">
        <v>30</v>
      </c>
      <c r="B624" s="35" t="s">
        <v>31</v>
      </c>
      <c r="C624" s="36">
        <v>44971.0</v>
      </c>
      <c r="D624" s="34" t="s">
        <v>32</v>
      </c>
      <c r="E624" s="35" t="s">
        <v>33</v>
      </c>
      <c r="F624" s="37"/>
      <c r="G624" s="31"/>
      <c r="H624" s="31"/>
      <c r="I624" s="31"/>
      <c r="J624" s="31"/>
      <c r="K624" s="31"/>
      <c r="L624" s="31"/>
      <c r="M624" s="31"/>
      <c r="N624" s="31"/>
      <c r="O624" s="31"/>
      <c r="P624" s="31"/>
      <c r="Q624" s="31"/>
      <c r="R624" s="31"/>
      <c r="S624" s="31"/>
      <c r="T624" s="31"/>
      <c r="U624" s="31"/>
      <c r="V624" s="31"/>
      <c r="W624" s="31"/>
      <c r="X624" s="31"/>
      <c r="Y624" s="31"/>
      <c r="Z624" s="31"/>
    </row>
    <row r="625" ht="13.5" customHeight="1">
      <c r="A625" s="38"/>
      <c r="B625" s="35" t="s">
        <v>34</v>
      </c>
      <c r="C625" s="33">
        <f>IF(C624="","",IF(AND(MONTH(C624)&gt;=1,MONTH(C624)&lt;=3),1,IF(AND(MONTH(C624)&gt;=4,MONTH(C624)&lt;=6),2,IF(AND(MONTH(C624)&gt;=7,MONTH(C624)&lt;=9),3,4))))</f>
        <v>1</v>
      </c>
      <c r="D625" s="38"/>
      <c r="E625" s="35" t="s">
        <v>35</v>
      </c>
      <c r="F625" s="37"/>
      <c r="G625" s="31"/>
      <c r="H625" s="31"/>
      <c r="I625" s="31"/>
      <c r="J625" s="31"/>
      <c r="K625" s="31"/>
      <c r="L625" s="31"/>
      <c r="M625" s="31"/>
      <c r="N625" s="31"/>
      <c r="O625" s="31"/>
      <c r="P625" s="31"/>
      <c r="Q625" s="31"/>
      <c r="R625" s="31"/>
      <c r="S625" s="31"/>
      <c r="T625" s="31"/>
      <c r="U625" s="31"/>
      <c r="V625" s="31"/>
      <c r="W625" s="31"/>
      <c r="X625" s="31"/>
      <c r="Y625" s="31"/>
      <c r="Z625" s="31"/>
    </row>
    <row r="626" ht="13.5" customHeight="1">
      <c r="A626" s="38"/>
      <c r="B626" s="35" t="s">
        <v>36</v>
      </c>
      <c r="C626" s="36">
        <v>44972.0</v>
      </c>
      <c r="D626" s="38"/>
      <c r="E626" s="35" t="s">
        <v>37</v>
      </c>
      <c r="F626" s="37"/>
      <c r="G626" s="31"/>
      <c r="H626" s="31"/>
      <c r="I626" s="31"/>
      <c r="J626" s="31"/>
      <c r="K626" s="31"/>
      <c r="L626" s="31"/>
      <c r="M626" s="31"/>
      <c r="N626" s="31"/>
      <c r="O626" s="31"/>
      <c r="P626" s="31"/>
      <c r="Q626" s="31"/>
      <c r="R626" s="31"/>
      <c r="S626" s="31"/>
      <c r="T626" s="31"/>
      <c r="U626" s="31"/>
      <c r="V626" s="31"/>
      <c r="W626" s="31"/>
      <c r="X626" s="31"/>
      <c r="Y626" s="31"/>
      <c r="Z626" s="31"/>
    </row>
    <row r="627" ht="13.5" customHeight="1">
      <c r="A627" s="39"/>
      <c r="B627" s="35" t="s">
        <v>34</v>
      </c>
      <c r="C627" s="33">
        <f>IF(C626="","",IF(AND(MONTH(C626)&gt;=1,MONTH(C626)&lt;=3),1,IF(AND(MONTH(C626)&gt;=4,MONTH(C626)&lt;=6),2,IF(AND(MONTH(C626)&gt;=7,MONTH(C626)&lt;=9),3,4))))</f>
        <v>1</v>
      </c>
      <c r="D627" s="39"/>
      <c r="E627" s="35" t="s">
        <v>38</v>
      </c>
      <c r="F627" s="37"/>
      <c r="G627" s="31"/>
      <c r="H627" s="31"/>
      <c r="I627" s="31"/>
      <c r="J627" s="31"/>
      <c r="K627" s="31"/>
      <c r="L627" s="31"/>
      <c r="M627" s="31"/>
      <c r="N627" s="31"/>
      <c r="O627" s="31"/>
      <c r="P627" s="31"/>
      <c r="Q627" s="31"/>
      <c r="R627" s="31"/>
      <c r="S627" s="31"/>
      <c r="T627" s="31"/>
      <c r="U627" s="31"/>
      <c r="V627" s="31"/>
      <c r="W627" s="31"/>
      <c r="X627" s="31"/>
      <c r="Y627" s="31"/>
      <c r="Z627" s="31"/>
    </row>
    <row r="628" ht="13.5" customHeight="1">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row>
    <row r="629" ht="13.5" customHeight="1">
      <c r="A629" s="40" t="s">
        <v>39</v>
      </c>
      <c r="B629" s="40" t="s">
        <v>40</v>
      </c>
      <c r="C629" s="40" t="s">
        <v>41</v>
      </c>
      <c r="D629" s="40" t="s">
        <v>42</v>
      </c>
      <c r="E629" s="40" t="s">
        <v>43</v>
      </c>
      <c r="F629" s="40" t="s">
        <v>44</v>
      </c>
      <c r="G629" s="31"/>
      <c r="H629" s="31"/>
      <c r="I629" s="31"/>
      <c r="J629" s="31"/>
      <c r="K629" s="31"/>
      <c r="L629" s="31"/>
      <c r="M629" s="31"/>
      <c r="N629" s="31"/>
      <c r="O629" s="31"/>
      <c r="P629" s="31"/>
      <c r="Q629" s="31"/>
      <c r="R629" s="31"/>
      <c r="S629" s="31"/>
      <c r="T629" s="31"/>
      <c r="U629" s="31"/>
      <c r="V629" s="31"/>
      <c r="W629" s="31"/>
      <c r="X629" s="31"/>
      <c r="Y629" s="31"/>
      <c r="Z629" s="31"/>
    </row>
    <row r="630" ht="13.5" customHeight="1">
      <c r="A630" s="41" t="s">
        <v>250</v>
      </c>
      <c r="B630" s="41" t="str">
        <f t="array" ref="B630">IFERROR(INDEX(#REF!,MATCH(INDIRECT(ADDRESS(ROW(),COLUMN()-1,4)),#REF!,0)),IF(INDIRECT(ADDRESS(ROW(),COLUMN()-1,4))="43191504","Teléfonos fijos",""))</f>
        <v>Teléfonos fijos</v>
      </c>
      <c r="C630" s="42" t="str">
        <f>IFERROR(VLOOKUP("UD",'Informacion '!P:Q,2,FALSE),"")</f>
        <v/>
      </c>
      <c r="D630" s="41">
        <v>16.0</v>
      </c>
      <c r="E630" s="43">
        <v>3125.0</v>
      </c>
      <c r="F630" s="43">
        <f>INDIRECT(ADDRESS(ROW(),COLUMN()-2,4))*INDIRECT(ADDRESS(ROW(),COLUMN()-1,4))</f>
        <v>50000</v>
      </c>
      <c r="G630" s="31"/>
      <c r="H630" s="31"/>
      <c r="I630" s="31"/>
      <c r="J630" s="31"/>
      <c r="K630" s="31"/>
      <c r="L630" s="31"/>
      <c r="M630" s="31"/>
      <c r="N630" s="31"/>
      <c r="O630" s="31"/>
      <c r="P630" s="31"/>
      <c r="Q630" s="31"/>
      <c r="R630" s="31"/>
      <c r="S630" s="31"/>
      <c r="T630" s="31"/>
      <c r="U630" s="31"/>
      <c r="V630" s="31"/>
      <c r="W630" s="31"/>
      <c r="X630" s="31"/>
      <c r="Y630" s="31"/>
      <c r="Z630" s="31"/>
    </row>
    <row r="631" ht="13.5" customHeight="1">
      <c r="A631" s="31"/>
      <c r="B631" s="31"/>
      <c r="C631" s="31"/>
      <c r="D631" s="31"/>
      <c r="E631" s="44" t="s">
        <v>63</v>
      </c>
      <c r="F631" s="45">
        <f>SUM(PACC!$F$630)</f>
        <v>50000</v>
      </c>
      <c r="G631" s="31"/>
      <c r="H631" s="31" t="str">
        <f>C623</f>
        <v>Bienes</v>
      </c>
      <c r="I631" s="31" t="str">
        <f>E623</f>
        <v>No</v>
      </c>
      <c r="J631" s="31" t="str">
        <f>D623</f>
        <v>Compras por debajo del Umbral</v>
      </c>
      <c r="K631" s="31"/>
      <c r="L631" s="31"/>
      <c r="M631" s="31"/>
      <c r="N631" s="31"/>
      <c r="O631" s="31"/>
      <c r="P631" s="31"/>
      <c r="Q631" s="31"/>
      <c r="R631" s="31"/>
      <c r="S631" s="31"/>
      <c r="T631" s="31"/>
      <c r="U631" s="31"/>
      <c r="V631" s="31"/>
      <c r="W631" s="31"/>
      <c r="X631" s="31"/>
      <c r="Y631" s="31"/>
      <c r="Z631" s="31"/>
    </row>
    <row r="632" ht="13.5" customHeight="1">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row>
    <row r="633" ht="33.75" customHeight="1">
      <c r="A633" s="32" t="s">
        <v>19</v>
      </c>
      <c r="B633" s="32" t="s">
        <v>20</v>
      </c>
      <c r="C633" s="32" t="s">
        <v>21</v>
      </c>
      <c r="D633" s="32" t="s">
        <v>22</v>
      </c>
      <c r="E633" s="32" t="s">
        <v>23</v>
      </c>
      <c r="F633" s="32" t="s">
        <v>24</v>
      </c>
      <c r="G633" s="31"/>
      <c r="H633" s="31"/>
      <c r="I633" s="31"/>
      <c r="J633" s="31"/>
      <c r="K633" s="31"/>
      <c r="L633" s="31"/>
      <c r="M633" s="31"/>
      <c r="N633" s="31"/>
      <c r="O633" s="31"/>
      <c r="P633" s="31"/>
      <c r="Q633" s="31"/>
      <c r="R633" s="31"/>
      <c r="S633" s="31"/>
      <c r="T633" s="31"/>
      <c r="U633" s="31"/>
      <c r="V633" s="31"/>
      <c r="W633" s="31"/>
      <c r="X633" s="31"/>
      <c r="Y633" s="31"/>
      <c r="Z633" s="31"/>
    </row>
    <row r="634" ht="13.5" customHeight="1">
      <c r="A634" s="33" t="s">
        <v>251</v>
      </c>
      <c r="B634" s="33" t="s">
        <v>252</v>
      </c>
      <c r="C634" s="33" t="s">
        <v>27</v>
      </c>
      <c r="D634" s="33" t="s">
        <v>124</v>
      </c>
      <c r="E634" s="33" t="s">
        <v>67</v>
      </c>
      <c r="F634" s="33"/>
      <c r="G634" s="31"/>
      <c r="H634" s="31"/>
      <c r="I634" s="31"/>
      <c r="J634" s="31"/>
      <c r="K634" s="31"/>
      <c r="L634" s="31"/>
      <c r="M634" s="31"/>
      <c r="N634" s="31"/>
      <c r="O634" s="31"/>
      <c r="P634" s="31"/>
      <c r="Q634" s="31"/>
      <c r="R634" s="31"/>
      <c r="S634" s="31"/>
      <c r="T634" s="31"/>
      <c r="U634" s="31"/>
      <c r="V634" s="31"/>
      <c r="W634" s="31"/>
      <c r="X634" s="31"/>
      <c r="Y634" s="31"/>
      <c r="Z634" s="31"/>
    </row>
    <row r="635" ht="13.5" customHeight="1">
      <c r="A635" s="34" t="s">
        <v>30</v>
      </c>
      <c r="B635" s="35" t="s">
        <v>31</v>
      </c>
      <c r="C635" s="36">
        <v>45012.0</v>
      </c>
      <c r="D635" s="34" t="s">
        <v>32</v>
      </c>
      <c r="E635" s="35" t="s">
        <v>33</v>
      </c>
      <c r="F635" s="37"/>
      <c r="G635" s="31"/>
      <c r="H635" s="31"/>
      <c r="I635" s="31"/>
      <c r="J635" s="31"/>
      <c r="K635" s="31"/>
      <c r="L635" s="31"/>
      <c r="M635" s="31"/>
      <c r="N635" s="31"/>
      <c r="O635" s="31"/>
      <c r="P635" s="31"/>
      <c r="Q635" s="31"/>
      <c r="R635" s="31"/>
      <c r="S635" s="31"/>
      <c r="T635" s="31"/>
      <c r="U635" s="31"/>
      <c r="V635" s="31"/>
      <c r="W635" s="31"/>
      <c r="X635" s="31"/>
      <c r="Y635" s="31"/>
      <c r="Z635" s="31"/>
    </row>
    <row r="636" ht="13.5" customHeight="1">
      <c r="A636" s="38"/>
      <c r="B636" s="35" t="s">
        <v>34</v>
      </c>
      <c r="C636" s="33">
        <f>IF(C635="","",IF(AND(MONTH(C635)&gt;=1,MONTH(C635)&lt;=3),1,IF(AND(MONTH(C635)&gt;=4,MONTH(C635)&lt;=6),2,IF(AND(MONTH(C635)&gt;=7,MONTH(C635)&lt;=9),3,4))))</f>
        <v>1</v>
      </c>
      <c r="D636" s="38"/>
      <c r="E636" s="35" t="s">
        <v>35</v>
      </c>
      <c r="F636" s="37"/>
      <c r="G636" s="31"/>
      <c r="H636" s="31"/>
      <c r="I636" s="31"/>
      <c r="J636" s="31"/>
      <c r="K636" s="31"/>
      <c r="L636" s="31"/>
      <c r="M636" s="31"/>
      <c r="N636" s="31"/>
      <c r="O636" s="31"/>
      <c r="P636" s="31"/>
      <c r="Q636" s="31"/>
      <c r="R636" s="31"/>
      <c r="S636" s="31"/>
      <c r="T636" s="31"/>
      <c r="U636" s="31"/>
      <c r="V636" s="31"/>
      <c r="W636" s="31"/>
      <c r="X636" s="31"/>
      <c r="Y636" s="31"/>
      <c r="Z636" s="31"/>
    </row>
    <row r="637" ht="13.5" customHeight="1">
      <c r="A637" s="38"/>
      <c r="B637" s="35" t="s">
        <v>36</v>
      </c>
      <c r="C637" s="36">
        <v>45013.0</v>
      </c>
      <c r="D637" s="38"/>
      <c r="E637" s="35" t="s">
        <v>37</v>
      </c>
      <c r="F637" s="37"/>
      <c r="G637" s="31"/>
      <c r="H637" s="31"/>
      <c r="I637" s="31"/>
      <c r="J637" s="31"/>
      <c r="K637" s="31"/>
      <c r="L637" s="31"/>
      <c r="M637" s="31"/>
      <c r="N637" s="31"/>
      <c r="O637" s="31"/>
      <c r="P637" s="31"/>
      <c r="Q637" s="31"/>
      <c r="R637" s="31"/>
      <c r="S637" s="31"/>
      <c r="T637" s="31"/>
      <c r="U637" s="31"/>
      <c r="V637" s="31"/>
      <c r="W637" s="31"/>
      <c r="X637" s="31"/>
      <c r="Y637" s="31"/>
      <c r="Z637" s="31"/>
    </row>
    <row r="638" ht="13.5" customHeight="1">
      <c r="A638" s="39"/>
      <c r="B638" s="35" t="s">
        <v>34</v>
      </c>
      <c r="C638" s="33">
        <f>IF(C637="","",IF(AND(MONTH(C637)&gt;=1,MONTH(C637)&lt;=3),1,IF(AND(MONTH(C637)&gt;=4,MONTH(C637)&lt;=6),2,IF(AND(MONTH(C637)&gt;=7,MONTH(C637)&lt;=9),3,4))))</f>
        <v>1</v>
      </c>
      <c r="D638" s="39"/>
      <c r="E638" s="35" t="s">
        <v>38</v>
      </c>
      <c r="F638" s="37"/>
      <c r="G638" s="31"/>
      <c r="H638" s="31"/>
      <c r="I638" s="31"/>
      <c r="J638" s="31"/>
      <c r="K638" s="31"/>
      <c r="L638" s="31"/>
      <c r="M638" s="31"/>
      <c r="N638" s="31"/>
      <c r="O638" s="31"/>
      <c r="P638" s="31"/>
      <c r="Q638" s="31"/>
      <c r="R638" s="31"/>
      <c r="S638" s="31"/>
      <c r="T638" s="31"/>
      <c r="U638" s="31"/>
      <c r="V638" s="31"/>
      <c r="W638" s="31"/>
      <c r="X638" s="31"/>
      <c r="Y638" s="31"/>
      <c r="Z638" s="31"/>
    </row>
    <row r="639" ht="13.5" customHeight="1">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row>
    <row r="640" ht="13.5" customHeight="1">
      <c r="A640" s="40" t="s">
        <v>39</v>
      </c>
      <c r="B640" s="40" t="s">
        <v>40</v>
      </c>
      <c r="C640" s="40" t="s">
        <v>41</v>
      </c>
      <c r="D640" s="40" t="s">
        <v>42</v>
      </c>
      <c r="E640" s="40" t="s">
        <v>43</v>
      </c>
      <c r="F640" s="40" t="s">
        <v>44</v>
      </c>
      <c r="G640" s="31"/>
      <c r="H640" s="31"/>
      <c r="I640" s="31"/>
      <c r="J640" s="31"/>
      <c r="K640" s="31"/>
      <c r="L640" s="31"/>
      <c r="M640" s="31"/>
      <c r="N640" s="31"/>
      <c r="O640" s="31"/>
      <c r="P640" s="31"/>
      <c r="Q640" s="31"/>
      <c r="R640" s="31"/>
      <c r="S640" s="31"/>
      <c r="T640" s="31"/>
      <c r="U640" s="31"/>
      <c r="V640" s="31"/>
      <c r="W640" s="31"/>
      <c r="X640" s="31"/>
      <c r="Y640" s="31"/>
      <c r="Z640" s="31"/>
    </row>
    <row r="641" ht="13.5" customHeight="1">
      <c r="A641" s="41" t="s">
        <v>253</v>
      </c>
      <c r="B641" s="41" t="str">
        <f t="array" ref="B641">IFERROR(INDEX(#REF!,MATCH(INDIRECT(ADDRESS(ROW(),COLUMN()-1,4)),#REF!,0)),IF(INDIRECT(ADDRESS(ROW(),COLUMN()-1,4))="27111515","Taladro de mano",""))</f>
        <v>Taladro de mano</v>
      </c>
      <c r="C641" s="42" t="str">
        <f t="shared" ref="C641:C642" si="75">IFERROR(VLOOKUP("UD",'Informacion '!P:Q,2,FALSE),"")</f>
        <v/>
      </c>
      <c r="D641" s="41">
        <v>2.0</v>
      </c>
      <c r="E641" s="43">
        <v>12000.0</v>
      </c>
      <c r="F641" s="43">
        <f t="shared" ref="F641:F642" si="76">INDIRECT(ADDRESS(ROW(),COLUMN()-2,4))*INDIRECT(ADDRESS(ROW(),COLUMN()-1,4))</f>
        <v>24000</v>
      </c>
      <c r="G641" s="31"/>
      <c r="H641" s="31"/>
      <c r="I641" s="31"/>
      <c r="J641" s="31"/>
      <c r="K641" s="31"/>
      <c r="L641" s="31"/>
      <c r="M641" s="31"/>
      <c r="N641" s="31"/>
      <c r="O641" s="31"/>
      <c r="P641" s="31"/>
      <c r="Q641" s="31"/>
      <c r="R641" s="31"/>
      <c r="S641" s="31"/>
      <c r="T641" s="31"/>
      <c r="U641" s="31"/>
      <c r="V641" s="31"/>
      <c r="W641" s="31"/>
      <c r="X641" s="31"/>
      <c r="Y641" s="31"/>
      <c r="Z641" s="31"/>
    </row>
    <row r="642" ht="13.5" customHeight="1">
      <c r="A642" s="41" t="s">
        <v>254</v>
      </c>
      <c r="B642" s="41" t="str">
        <f t="array" ref="B642">IFERROR(INDEX(#REF!,MATCH(INDIRECT(ADDRESS(ROW(),COLUMN()-1,4)),#REF!,0)),IF(INDIRECT(ADDRESS(ROW(),COLUMN()-1,4))="27112709","Sierras eléctricas",""))</f>
        <v>Sierras eléctricas</v>
      </c>
      <c r="C642" s="42" t="str">
        <f t="shared" si="75"/>
        <v/>
      </c>
      <c r="D642" s="41">
        <v>1.0</v>
      </c>
      <c r="E642" s="43">
        <v>26000.0</v>
      </c>
      <c r="F642" s="43">
        <f t="shared" si="76"/>
        <v>26000</v>
      </c>
      <c r="G642" s="31"/>
      <c r="H642" s="31"/>
      <c r="I642" s="31"/>
      <c r="J642" s="31"/>
      <c r="K642" s="31"/>
      <c r="L642" s="31"/>
      <c r="M642" s="31"/>
      <c r="N642" s="31"/>
      <c r="O642" s="31"/>
      <c r="P642" s="31"/>
      <c r="Q642" s="31"/>
      <c r="R642" s="31"/>
      <c r="S642" s="31"/>
      <c r="T642" s="31"/>
      <c r="U642" s="31"/>
      <c r="V642" s="31"/>
      <c r="W642" s="31"/>
      <c r="X642" s="31"/>
      <c r="Y642" s="31"/>
      <c r="Z642" s="31"/>
    </row>
    <row r="643" ht="13.5" customHeight="1">
      <c r="A643" s="31"/>
      <c r="B643" s="31"/>
      <c r="C643" s="31"/>
      <c r="D643" s="31"/>
      <c r="E643" s="44" t="s">
        <v>63</v>
      </c>
      <c r="F643" s="45">
        <f>SUM(PACC!$F$641:$F$642)</f>
        <v>50000</v>
      </c>
      <c r="G643" s="31"/>
      <c r="H643" s="31" t="str">
        <f>C634</f>
        <v>Bienes</v>
      </c>
      <c r="I643" s="31" t="str">
        <f>E634</f>
        <v>No</v>
      </c>
      <c r="J643" s="31" t="str">
        <f>D634</f>
        <v>Compras por debajo del Umbral</v>
      </c>
      <c r="K643" s="31"/>
      <c r="L643" s="31"/>
      <c r="M643" s="31"/>
      <c r="N643" s="31"/>
      <c r="O643" s="31"/>
      <c r="P643" s="31"/>
      <c r="Q643" s="31"/>
      <c r="R643" s="31"/>
      <c r="S643" s="31"/>
      <c r="T643" s="31"/>
      <c r="U643" s="31"/>
      <c r="V643" s="31"/>
      <c r="W643" s="31"/>
      <c r="X643" s="31"/>
      <c r="Y643" s="31"/>
      <c r="Z643" s="31"/>
    </row>
    <row r="644" ht="13.5" customHeight="1">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row>
    <row r="645" ht="33.75" customHeight="1">
      <c r="A645" s="32" t="s">
        <v>19</v>
      </c>
      <c r="B645" s="32" t="s">
        <v>20</v>
      </c>
      <c r="C645" s="32" t="s">
        <v>21</v>
      </c>
      <c r="D645" s="32" t="s">
        <v>22</v>
      </c>
      <c r="E645" s="32" t="s">
        <v>23</v>
      </c>
      <c r="F645" s="32" t="s">
        <v>24</v>
      </c>
      <c r="G645" s="31"/>
      <c r="H645" s="31"/>
      <c r="I645" s="31"/>
      <c r="J645" s="31"/>
      <c r="K645" s="31"/>
      <c r="L645" s="31"/>
      <c r="M645" s="31"/>
      <c r="N645" s="31"/>
      <c r="O645" s="31"/>
      <c r="P645" s="31"/>
      <c r="Q645" s="31"/>
      <c r="R645" s="31"/>
      <c r="S645" s="31"/>
      <c r="T645" s="31"/>
      <c r="U645" s="31"/>
      <c r="V645" s="31"/>
      <c r="W645" s="31"/>
      <c r="X645" s="31"/>
      <c r="Y645" s="31"/>
      <c r="Z645" s="31"/>
    </row>
    <row r="646" ht="13.5" customHeight="1">
      <c r="A646" s="33" t="s">
        <v>255</v>
      </c>
      <c r="B646" s="33" t="s">
        <v>256</v>
      </c>
      <c r="C646" s="33" t="s">
        <v>27</v>
      </c>
      <c r="D646" s="33" t="s">
        <v>124</v>
      </c>
      <c r="E646" s="33" t="s">
        <v>67</v>
      </c>
      <c r="F646" s="33"/>
      <c r="G646" s="31"/>
      <c r="H646" s="31"/>
      <c r="I646" s="31"/>
      <c r="J646" s="31"/>
      <c r="K646" s="31"/>
      <c r="L646" s="31"/>
      <c r="M646" s="31"/>
      <c r="N646" s="31"/>
      <c r="O646" s="31"/>
      <c r="P646" s="31"/>
      <c r="Q646" s="31"/>
      <c r="R646" s="31"/>
      <c r="S646" s="31"/>
      <c r="T646" s="31"/>
      <c r="U646" s="31"/>
      <c r="V646" s="31"/>
      <c r="W646" s="31"/>
      <c r="X646" s="31"/>
      <c r="Y646" s="31"/>
      <c r="Z646" s="31"/>
    </row>
    <row r="647" ht="13.5" customHeight="1">
      <c r="A647" s="34" t="s">
        <v>30</v>
      </c>
      <c r="B647" s="35" t="s">
        <v>31</v>
      </c>
      <c r="C647" s="36">
        <v>44984.0</v>
      </c>
      <c r="D647" s="34" t="s">
        <v>32</v>
      </c>
      <c r="E647" s="35" t="s">
        <v>33</v>
      </c>
      <c r="F647" s="37"/>
      <c r="G647" s="31"/>
      <c r="H647" s="31"/>
      <c r="I647" s="31"/>
      <c r="J647" s="31"/>
      <c r="K647" s="31"/>
      <c r="L647" s="31"/>
      <c r="M647" s="31"/>
      <c r="N647" s="31"/>
      <c r="O647" s="31"/>
      <c r="P647" s="31"/>
      <c r="Q647" s="31"/>
      <c r="R647" s="31"/>
      <c r="S647" s="31"/>
      <c r="T647" s="31"/>
      <c r="U647" s="31"/>
      <c r="V647" s="31"/>
      <c r="W647" s="31"/>
      <c r="X647" s="31"/>
      <c r="Y647" s="31"/>
      <c r="Z647" s="31"/>
    </row>
    <row r="648" ht="13.5" customHeight="1">
      <c r="A648" s="38"/>
      <c r="B648" s="35" t="s">
        <v>34</v>
      </c>
      <c r="C648" s="33">
        <f>IF(C647="","",IF(AND(MONTH(C647)&gt;=1,MONTH(C647)&lt;=3),1,IF(AND(MONTH(C647)&gt;=4,MONTH(C647)&lt;=6),2,IF(AND(MONTH(C647)&gt;=7,MONTH(C647)&lt;=9),3,4))))</f>
        <v>1</v>
      </c>
      <c r="D648" s="38"/>
      <c r="E648" s="35" t="s">
        <v>35</v>
      </c>
      <c r="F648" s="37"/>
      <c r="G648" s="31"/>
      <c r="H648" s="31"/>
      <c r="I648" s="31"/>
      <c r="J648" s="31"/>
      <c r="K648" s="31"/>
      <c r="L648" s="31"/>
      <c r="M648" s="31"/>
      <c r="N648" s="31"/>
      <c r="O648" s="31"/>
      <c r="P648" s="31"/>
      <c r="Q648" s="31"/>
      <c r="R648" s="31"/>
      <c r="S648" s="31"/>
      <c r="T648" s="31"/>
      <c r="U648" s="31"/>
      <c r="V648" s="31"/>
      <c r="W648" s="31"/>
      <c r="X648" s="31"/>
      <c r="Y648" s="31"/>
      <c r="Z648" s="31"/>
    </row>
    <row r="649" ht="13.5" customHeight="1">
      <c r="A649" s="38"/>
      <c r="B649" s="35" t="s">
        <v>36</v>
      </c>
      <c r="C649" s="36">
        <v>44985.0</v>
      </c>
      <c r="D649" s="38"/>
      <c r="E649" s="35" t="s">
        <v>37</v>
      </c>
      <c r="F649" s="37"/>
      <c r="G649" s="31"/>
      <c r="H649" s="31"/>
      <c r="I649" s="31"/>
      <c r="J649" s="31"/>
      <c r="K649" s="31"/>
      <c r="L649" s="31"/>
      <c r="M649" s="31"/>
      <c r="N649" s="31"/>
      <c r="O649" s="31"/>
      <c r="P649" s="31"/>
      <c r="Q649" s="31"/>
      <c r="R649" s="31"/>
      <c r="S649" s="31"/>
      <c r="T649" s="31"/>
      <c r="U649" s="31"/>
      <c r="V649" s="31"/>
      <c r="W649" s="31"/>
      <c r="X649" s="31"/>
      <c r="Y649" s="31"/>
      <c r="Z649" s="31"/>
    </row>
    <row r="650" ht="13.5" customHeight="1">
      <c r="A650" s="39"/>
      <c r="B650" s="35" t="s">
        <v>34</v>
      </c>
      <c r="C650" s="33">
        <f>IF(C649="","",IF(AND(MONTH(C649)&gt;=1,MONTH(C649)&lt;=3),1,IF(AND(MONTH(C649)&gt;=4,MONTH(C649)&lt;=6),2,IF(AND(MONTH(C649)&gt;=7,MONTH(C649)&lt;=9),3,4))))</f>
        <v>1</v>
      </c>
      <c r="D650" s="39"/>
      <c r="E650" s="35" t="s">
        <v>38</v>
      </c>
      <c r="F650" s="37"/>
      <c r="G650" s="31"/>
      <c r="H650" s="31"/>
      <c r="I650" s="31"/>
      <c r="J650" s="31"/>
      <c r="K650" s="31"/>
      <c r="L650" s="31"/>
      <c r="M650" s="31"/>
      <c r="N650" s="31"/>
      <c r="O650" s="31"/>
      <c r="P650" s="31"/>
      <c r="Q650" s="31"/>
      <c r="R650" s="31"/>
      <c r="S650" s="31"/>
      <c r="T650" s="31"/>
      <c r="U650" s="31"/>
      <c r="V650" s="31"/>
      <c r="W650" s="31"/>
      <c r="X650" s="31"/>
      <c r="Y650" s="31"/>
      <c r="Z650" s="31"/>
    </row>
    <row r="651" ht="13.5" customHeight="1">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row>
    <row r="652" ht="13.5" customHeight="1">
      <c r="A652" s="40" t="s">
        <v>39</v>
      </c>
      <c r="B652" s="40" t="s">
        <v>40</v>
      </c>
      <c r="C652" s="40" t="s">
        <v>41</v>
      </c>
      <c r="D652" s="40" t="s">
        <v>42</v>
      </c>
      <c r="E652" s="40" t="s">
        <v>43</v>
      </c>
      <c r="F652" s="40" t="s">
        <v>44</v>
      </c>
      <c r="G652" s="31"/>
      <c r="H652" s="31"/>
      <c r="I652" s="31"/>
      <c r="J652" s="31"/>
      <c r="K652" s="31"/>
      <c r="L652" s="31"/>
      <c r="M652" s="31"/>
      <c r="N652" s="31"/>
      <c r="O652" s="31"/>
      <c r="P652" s="31"/>
      <c r="Q652" s="31"/>
      <c r="R652" s="31"/>
      <c r="S652" s="31"/>
      <c r="T652" s="31"/>
      <c r="U652" s="31"/>
      <c r="V652" s="31"/>
      <c r="W652" s="31"/>
      <c r="X652" s="31"/>
      <c r="Y652" s="31"/>
      <c r="Z652" s="31"/>
    </row>
    <row r="653" ht="13.5" customHeight="1">
      <c r="A653" s="41" t="s">
        <v>257</v>
      </c>
      <c r="B653" s="41" t="str">
        <f t="array" ref="B653">IFERROR(INDEX(#REF!,MATCH(INDIRECT(ADDRESS(ROW(),COLUMN()-1,4)),#REF!,0)),IF(INDIRECT(ADDRESS(ROW(),COLUMN()-1,4))="24141511","Amarres de carga",""))</f>
        <v>Amarres de carga</v>
      </c>
      <c r="C653" s="42" t="str">
        <f>IFERROR(VLOOKUP("UD",'Informacion '!P:Q,2,FALSE),"")</f>
        <v/>
      </c>
      <c r="D653" s="41">
        <v>2.0</v>
      </c>
      <c r="E653" s="43">
        <v>20000.0</v>
      </c>
      <c r="F653" s="43">
        <f>INDIRECT(ADDRESS(ROW(),COLUMN()-2,4))*INDIRECT(ADDRESS(ROW(),COLUMN()-1,4))</f>
        <v>40000</v>
      </c>
      <c r="G653" s="31"/>
      <c r="H653" s="31"/>
      <c r="I653" s="31"/>
      <c r="J653" s="31"/>
      <c r="K653" s="31"/>
      <c r="L653" s="31"/>
      <c r="M653" s="31"/>
      <c r="N653" s="31"/>
      <c r="O653" s="31"/>
      <c r="P653" s="31"/>
      <c r="Q653" s="31"/>
      <c r="R653" s="31"/>
      <c r="S653" s="31"/>
      <c r="T653" s="31"/>
      <c r="U653" s="31"/>
      <c r="V653" s="31"/>
      <c r="W653" s="31"/>
      <c r="X653" s="31"/>
      <c r="Y653" s="31"/>
      <c r="Z653" s="31"/>
    </row>
    <row r="654" ht="13.5" customHeight="1">
      <c r="A654" s="31"/>
      <c r="B654" s="31"/>
      <c r="C654" s="31"/>
      <c r="D654" s="31"/>
      <c r="E654" s="44" t="s">
        <v>63</v>
      </c>
      <c r="F654" s="45">
        <f>SUM(PACC!$F$653)</f>
        <v>40000</v>
      </c>
      <c r="G654" s="31"/>
      <c r="H654" s="31" t="str">
        <f>C646</f>
        <v>Bienes</v>
      </c>
      <c r="I654" s="31" t="str">
        <f>E646</f>
        <v>No</v>
      </c>
      <c r="J654" s="31" t="str">
        <f>D646</f>
        <v>Compras por debajo del Umbral</v>
      </c>
      <c r="K654" s="31"/>
      <c r="L654" s="31"/>
      <c r="M654" s="31"/>
      <c r="N654" s="31"/>
      <c r="O654" s="31"/>
      <c r="P654" s="31"/>
      <c r="Q654" s="31"/>
      <c r="R654" s="31"/>
      <c r="S654" s="31"/>
      <c r="T654" s="31"/>
      <c r="U654" s="31"/>
      <c r="V654" s="31"/>
      <c r="W654" s="31"/>
      <c r="X654" s="31"/>
      <c r="Y654" s="31"/>
      <c r="Z654" s="31"/>
    </row>
    <row r="655" ht="13.5" customHeight="1">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row>
    <row r="656" ht="33.75" customHeight="1">
      <c r="A656" s="32" t="s">
        <v>19</v>
      </c>
      <c r="B656" s="32" t="s">
        <v>20</v>
      </c>
      <c r="C656" s="32" t="s">
        <v>21</v>
      </c>
      <c r="D656" s="32" t="s">
        <v>22</v>
      </c>
      <c r="E656" s="32" t="s">
        <v>23</v>
      </c>
      <c r="F656" s="32" t="s">
        <v>24</v>
      </c>
      <c r="G656" s="31"/>
      <c r="H656" s="31"/>
      <c r="I656" s="31"/>
      <c r="J656" s="31"/>
      <c r="K656" s="31"/>
      <c r="L656" s="31"/>
      <c r="M656" s="31"/>
      <c r="N656" s="31"/>
      <c r="O656" s="31"/>
      <c r="P656" s="31"/>
      <c r="Q656" s="31"/>
      <c r="R656" s="31"/>
      <c r="S656" s="31"/>
      <c r="T656" s="31"/>
      <c r="U656" s="31"/>
      <c r="V656" s="31"/>
      <c r="W656" s="31"/>
      <c r="X656" s="31"/>
      <c r="Y656" s="31"/>
      <c r="Z656" s="31"/>
    </row>
    <row r="657" ht="13.5" customHeight="1">
      <c r="A657" s="33" t="s">
        <v>258</v>
      </c>
      <c r="B657" s="33" t="s">
        <v>259</v>
      </c>
      <c r="C657" s="33" t="s">
        <v>27</v>
      </c>
      <c r="D657" s="33" t="s">
        <v>124</v>
      </c>
      <c r="E657" s="33" t="s">
        <v>67</v>
      </c>
      <c r="F657" s="33"/>
      <c r="G657" s="31"/>
      <c r="H657" s="31"/>
      <c r="I657" s="31"/>
      <c r="J657" s="31"/>
      <c r="K657" s="31"/>
      <c r="L657" s="31"/>
      <c r="M657" s="31"/>
      <c r="N657" s="31"/>
      <c r="O657" s="31"/>
      <c r="P657" s="31"/>
      <c r="Q657" s="31"/>
      <c r="R657" s="31"/>
      <c r="S657" s="31"/>
      <c r="T657" s="31"/>
      <c r="U657" s="31"/>
      <c r="V657" s="31"/>
      <c r="W657" s="31"/>
      <c r="X657" s="31"/>
      <c r="Y657" s="31"/>
      <c r="Z657" s="31"/>
    </row>
    <row r="658" ht="13.5" customHeight="1">
      <c r="A658" s="34" t="s">
        <v>30</v>
      </c>
      <c r="B658" s="35" t="s">
        <v>31</v>
      </c>
      <c r="C658" s="36">
        <v>45152.0</v>
      </c>
      <c r="D658" s="34" t="s">
        <v>32</v>
      </c>
      <c r="E658" s="35" t="s">
        <v>33</v>
      </c>
      <c r="F658" s="37"/>
      <c r="G658" s="31"/>
      <c r="H658" s="31"/>
      <c r="I658" s="31"/>
      <c r="J658" s="31"/>
      <c r="K658" s="31"/>
      <c r="L658" s="31"/>
      <c r="M658" s="31"/>
      <c r="N658" s="31"/>
      <c r="O658" s="31"/>
      <c r="P658" s="31"/>
      <c r="Q658" s="31"/>
      <c r="R658" s="31"/>
      <c r="S658" s="31"/>
      <c r="T658" s="31"/>
      <c r="U658" s="31"/>
      <c r="V658" s="31"/>
      <c r="W658" s="31"/>
      <c r="X658" s="31"/>
      <c r="Y658" s="31"/>
      <c r="Z658" s="31"/>
    </row>
    <row r="659" ht="13.5" customHeight="1">
      <c r="A659" s="38"/>
      <c r="B659" s="35" t="s">
        <v>34</v>
      </c>
      <c r="C659" s="33">
        <f>IF(C658="","",IF(AND(MONTH(C658)&gt;=1,MONTH(C658)&lt;=3),1,IF(AND(MONTH(C658)&gt;=4,MONTH(C658)&lt;=6),2,IF(AND(MONTH(C658)&gt;=7,MONTH(C658)&lt;=9),3,4))))</f>
        <v>3</v>
      </c>
      <c r="D659" s="38"/>
      <c r="E659" s="35" t="s">
        <v>35</v>
      </c>
      <c r="F659" s="37"/>
      <c r="G659" s="31"/>
      <c r="H659" s="31"/>
      <c r="I659" s="31"/>
      <c r="J659" s="31"/>
      <c r="K659" s="31"/>
      <c r="L659" s="31"/>
      <c r="M659" s="31"/>
      <c r="N659" s="31"/>
      <c r="O659" s="31"/>
      <c r="P659" s="31"/>
      <c r="Q659" s="31"/>
      <c r="R659" s="31"/>
      <c r="S659" s="31"/>
      <c r="T659" s="31"/>
      <c r="U659" s="31"/>
      <c r="V659" s="31"/>
      <c r="W659" s="31"/>
      <c r="X659" s="31"/>
      <c r="Y659" s="31"/>
      <c r="Z659" s="31"/>
    </row>
    <row r="660" ht="13.5" customHeight="1">
      <c r="A660" s="38"/>
      <c r="B660" s="35" t="s">
        <v>36</v>
      </c>
      <c r="C660" s="36">
        <v>45153.0</v>
      </c>
      <c r="D660" s="38"/>
      <c r="E660" s="35" t="s">
        <v>37</v>
      </c>
      <c r="F660" s="37"/>
      <c r="G660" s="31"/>
      <c r="H660" s="31"/>
      <c r="I660" s="31"/>
      <c r="J660" s="31"/>
      <c r="K660" s="31"/>
      <c r="L660" s="31"/>
      <c r="M660" s="31"/>
      <c r="N660" s="31"/>
      <c r="O660" s="31"/>
      <c r="P660" s="31"/>
      <c r="Q660" s="31"/>
      <c r="R660" s="31"/>
      <c r="S660" s="31"/>
      <c r="T660" s="31"/>
      <c r="U660" s="31"/>
      <c r="V660" s="31"/>
      <c r="W660" s="31"/>
      <c r="X660" s="31"/>
      <c r="Y660" s="31"/>
      <c r="Z660" s="31"/>
    </row>
    <row r="661" ht="13.5" customHeight="1">
      <c r="A661" s="39"/>
      <c r="B661" s="35" t="s">
        <v>34</v>
      </c>
      <c r="C661" s="33">
        <f>IF(C660="","",IF(AND(MONTH(C660)&gt;=1,MONTH(C660)&lt;=3),1,IF(AND(MONTH(C660)&gt;=4,MONTH(C660)&lt;=6),2,IF(AND(MONTH(C660)&gt;=7,MONTH(C660)&lt;=9),3,4))))</f>
        <v>3</v>
      </c>
      <c r="D661" s="39"/>
      <c r="E661" s="35" t="s">
        <v>38</v>
      </c>
      <c r="F661" s="37"/>
      <c r="G661" s="31"/>
      <c r="H661" s="31"/>
      <c r="I661" s="31"/>
      <c r="J661" s="31"/>
      <c r="K661" s="31"/>
      <c r="L661" s="31"/>
      <c r="M661" s="31"/>
      <c r="N661" s="31"/>
      <c r="O661" s="31"/>
      <c r="P661" s="31"/>
      <c r="Q661" s="31"/>
      <c r="R661" s="31"/>
      <c r="S661" s="31"/>
      <c r="T661" s="31"/>
      <c r="U661" s="31"/>
      <c r="V661" s="31"/>
      <c r="W661" s="31"/>
      <c r="X661" s="31"/>
      <c r="Y661" s="31"/>
      <c r="Z661" s="31"/>
    </row>
    <row r="662" ht="13.5" customHeight="1">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row>
    <row r="663" ht="13.5" customHeight="1">
      <c r="A663" s="40" t="s">
        <v>39</v>
      </c>
      <c r="B663" s="40" t="s">
        <v>40</v>
      </c>
      <c r="C663" s="40" t="s">
        <v>41</v>
      </c>
      <c r="D663" s="40" t="s">
        <v>42</v>
      </c>
      <c r="E663" s="40" t="s">
        <v>43</v>
      </c>
      <c r="F663" s="40" t="s">
        <v>44</v>
      </c>
      <c r="G663" s="31"/>
      <c r="H663" s="31"/>
      <c r="I663" s="31"/>
      <c r="J663" s="31"/>
      <c r="K663" s="31"/>
      <c r="L663" s="31"/>
      <c r="M663" s="31"/>
      <c r="N663" s="31"/>
      <c r="O663" s="31"/>
      <c r="P663" s="31"/>
      <c r="Q663" s="31"/>
      <c r="R663" s="31"/>
      <c r="S663" s="31"/>
      <c r="T663" s="31"/>
      <c r="U663" s="31"/>
      <c r="V663" s="31"/>
      <c r="W663" s="31"/>
      <c r="X663" s="31"/>
      <c r="Y663" s="31"/>
      <c r="Z663" s="31"/>
    </row>
    <row r="664" ht="13.5" customHeight="1">
      <c r="A664" s="41" t="s">
        <v>260</v>
      </c>
      <c r="B664" s="41" t="str">
        <f t="array" ref="B664">IFERROR(INDEX(#REF!,MATCH(INDIRECT(ADDRESS(ROW(),COLUMN()-1,4)),#REF!,0)),IF(INDIRECT(ADDRESS(ROW(),COLUMN()-1,4))="11111601","Yeso",""))</f>
        <v>Yeso</v>
      </c>
      <c r="C664" s="42" t="str">
        <f>IFERROR(VLOOKUP("UD",'Informacion '!P:Q,2,FALSE),"")</f>
        <v/>
      </c>
      <c r="D664" s="41">
        <v>40.0</v>
      </c>
      <c r="E664" s="43">
        <v>500.0</v>
      </c>
      <c r="F664" s="43">
        <f>INDIRECT(ADDRESS(ROW(),COLUMN()-2,4))*INDIRECT(ADDRESS(ROW(),COLUMN()-1,4))</f>
        <v>20000</v>
      </c>
      <c r="G664" s="31"/>
      <c r="H664" s="31"/>
      <c r="I664" s="31"/>
      <c r="J664" s="31"/>
      <c r="K664" s="31"/>
      <c r="L664" s="31"/>
      <c r="M664" s="31"/>
      <c r="N664" s="31"/>
      <c r="O664" s="31"/>
      <c r="P664" s="31"/>
      <c r="Q664" s="31"/>
      <c r="R664" s="31"/>
      <c r="S664" s="31"/>
      <c r="T664" s="31"/>
      <c r="U664" s="31"/>
      <c r="V664" s="31"/>
      <c r="W664" s="31"/>
      <c r="X664" s="31"/>
      <c r="Y664" s="31"/>
      <c r="Z664" s="31"/>
    </row>
    <row r="665" ht="13.5" customHeight="1">
      <c r="A665" s="31"/>
      <c r="B665" s="31"/>
      <c r="C665" s="31"/>
      <c r="D665" s="31"/>
      <c r="E665" s="44" t="s">
        <v>63</v>
      </c>
      <c r="F665" s="45">
        <f>SUM(PACC!$F$664)</f>
        <v>20000</v>
      </c>
      <c r="G665" s="31"/>
      <c r="H665" s="31" t="str">
        <f>C657</f>
        <v>Bienes</v>
      </c>
      <c r="I665" s="31" t="str">
        <f>E657</f>
        <v>No</v>
      </c>
      <c r="J665" s="31" t="str">
        <f>D657</f>
        <v>Compras por debajo del Umbral</v>
      </c>
      <c r="K665" s="31"/>
      <c r="L665" s="31"/>
      <c r="M665" s="31"/>
      <c r="N665" s="31"/>
      <c r="O665" s="31"/>
      <c r="P665" s="31"/>
      <c r="Q665" s="31"/>
      <c r="R665" s="31"/>
      <c r="S665" s="31"/>
      <c r="T665" s="31"/>
      <c r="U665" s="31"/>
      <c r="V665" s="31"/>
      <c r="W665" s="31"/>
      <c r="X665" s="31"/>
      <c r="Y665" s="31"/>
      <c r="Z665" s="31"/>
    </row>
    <row r="666" ht="13.5" customHeight="1">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row>
    <row r="667" ht="33.75" customHeight="1">
      <c r="A667" s="32" t="s">
        <v>19</v>
      </c>
      <c r="B667" s="32" t="s">
        <v>20</v>
      </c>
      <c r="C667" s="32" t="s">
        <v>21</v>
      </c>
      <c r="D667" s="32" t="s">
        <v>22</v>
      </c>
      <c r="E667" s="32" t="s">
        <v>23</v>
      </c>
      <c r="F667" s="32" t="s">
        <v>24</v>
      </c>
      <c r="G667" s="31"/>
      <c r="H667" s="31"/>
      <c r="I667" s="31"/>
      <c r="J667" s="31"/>
      <c r="K667" s="31"/>
      <c r="L667" s="31"/>
      <c r="M667" s="31"/>
      <c r="N667" s="31"/>
      <c r="O667" s="31"/>
      <c r="P667" s="31"/>
      <c r="Q667" s="31"/>
      <c r="R667" s="31"/>
      <c r="S667" s="31"/>
      <c r="T667" s="31"/>
      <c r="U667" s="31"/>
      <c r="V667" s="31"/>
      <c r="W667" s="31"/>
      <c r="X667" s="31"/>
      <c r="Y667" s="31"/>
      <c r="Z667" s="31"/>
    </row>
    <row r="668" ht="13.5" customHeight="1">
      <c r="A668" s="33" t="s">
        <v>261</v>
      </c>
      <c r="B668" s="33" t="s">
        <v>262</v>
      </c>
      <c r="C668" s="33" t="s">
        <v>27</v>
      </c>
      <c r="D668" s="33" t="s">
        <v>124</v>
      </c>
      <c r="E668" s="33" t="s">
        <v>67</v>
      </c>
      <c r="F668" s="33"/>
      <c r="G668" s="31"/>
      <c r="H668" s="31"/>
      <c r="I668" s="31"/>
      <c r="J668" s="31"/>
      <c r="K668" s="31"/>
      <c r="L668" s="31"/>
      <c r="M668" s="31"/>
      <c r="N668" s="31"/>
      <c r="O668" s="31"/>
      <c r="P668" s="31"/>
      <c r="Q668" s="31"/>
      <c r="R668" s="31"/>
      <c r="S668" s="31"/>
      <c r="T668" s="31"/>
      <c r="U668" s="31"/>
      <c r="V668" s="31"/>
      <c r="W668" s="31"/>
      <c r="X668" s="31"/>
      <c r="Y668" s="31"/>
      <c r="Z668" s="31"/>
    </row>
    <row r="669" ht="13.5" customHeight="1">
      <c r="A669" s="34" t="s">
        <v>30</v>
      </c>
      <c r="B669" s="35" t="s">
        <v>31</v>
      </c>
      <c r="C669" s="36">
        <v>45166.0</v>
      </c>
      <c r="D669" s="34" t="s">
        <v>32</v>
      </c>
      <c r="E669" s="35" t="s">
        <v>33</v>
      </c>
      <c r="F669" s="37"/>
      <c r="G669" s="31"/>
      <c r="H669" s="31"/>
      <c r="I669" s="31"/>
      <c r="J669" s="31"/>
      <c r="K669" s="31"/>
      <c r="L669" s="31"/>
      <c r="M669" s="31"/>
      <c r="N669" s="31"/>
      <c r="O669" s="31"/>
      <c r="P669" s="31"/>
      <c r="Q669" s="31"/>
      <c r="R669" s="31"/>
      <c r="S669" s="31"/>
      <c r="T669" s="31"/>
      <c r="U669" s="31"/>
      <c r="V669" s="31"/>
      <c r="W669" s="31"/>
      <c r="X669" s="31"/>
      <c r="Y669" s="31"/>
      <c r="Z669" s="31"/>
    </row>
    <row r="670" ht="13.5" customHeight="1">
      <c r="A670" s="38"/>
      <c r="B670" s="35" t="s">
        <v>34</v>
      </c>
      <c r="C670" s="33">
        <f>IF(C669="","",IF(AND(MONTH(C669)&gt;=1,MONTH(C669)&lt;=3),1,IF(AND(MONTH(C669)&gt;=4,MONTH(C669)&lt;=6),2,IF(AND(MONTH(C669)&gt;=7,MONTH(C669)&lt;=9),3,4))))</f>
        <v>3</v>
      </c>
      <c r="D670" s="38"/>
      <c r="E670" s="35" t="s">
        <v>35</v>
      </c>
      <c r="F670" s="37"/>
      <c r="G670" s="31"/>
      <c r="H670" s="31"/>
      <c r="I670" s="31"/>
      <c r="J670" s="31"/>
      <c r="K670" s="31"/>
      <c r="L670" s="31"/>
      <c r="M670" s="31"/>
      <c r="N670" s="31"/>
      <c r="O670" s="31"/>
      <c r="P670" s="31"/>
      <c r="Q670" s="31"/>
      <c r="R670" s="31"/>
      <c r="S670" s="31"/>
      <c r="T670" s="31"/>
      <c r="U670" s="31"/>
      <c r="V670" s="31"/>
      <c r="W670" s="31"/>
      <c r="X670" s="31"/>
      <c r="Y670" s="31"/>
      <c r="Z670" s="31"/>
    </row>
    <row r="671" ht="13.5" customHeight="1">
      <c r="A671" s="38"/>
      <c r="B671" s="35" t="s">
        <v>36</v>
      </c>
      <c r="C671" s="36">
        <v>45167.0</v>
      </c>
      <c r="D671" s="38"/>
      <c r="E671" s="35" t="s">
        <v>37</v>
      </c>
      <c r="F671" s="37"/>
      <c r="G671" s="31"/>
      <c r="H671" s="31"/>
      <c r="I671" s="31"/>
      <c r="J671" s="31"/>
      <c r="K671" s="31"/>
      <c r="L671" s="31"/>
      <c r="M671" s="31"/>
      <c r="N671" s="31"/>
      <c r="O671" s="31"/>
      <c r="P671" s="31"/>
      <c r="Q671" s="31"/>
      <c r="R671" s="31"/>
      <c r="S671" s="31"/>
      <c r="T671" s="31"/>
      <c r="U671" s="31"/>
      <c r="V671" s="31"/>
      <c r="W671" s="31"/>
      <c r="X671" s="31"/>
      <c r="Y671" s="31"/>
      <c r="Z671" s="31"/>
    </row>
    <row r="672" ht="13.5" customHeight="1">
      <c r="A672" s="39"/>
      <c r="B672" s="35" t="s">
        <v>34</v>
      </c>
      <c r="C672" s="33">
        <f>IF(C671="","",IF(AND(MONTH(C671)&gt;=1,MONTH(C671)&lt;=3),1,IF(AND(MONTH(C671)&gt;=4,MONTH(C671)&lt;=6),2,IF(AND(MONTH(C671)&gt;=7,MONTH(C671)&lt;=9),3,4))))</f>
        <v>3</v>
      </c>
      <c r="D672" s="39"/>
      <c r="E672" s="35" t="s">
        <v>38</v>
      </c>
      <c r="F672" s="37"/>
      <c r="G672" s="31"/>
      <c r="H672" s="31"/>
      <c r="I672" s="31"/>
      <c r="J672" s="31"/>
      <c r="K672" s="31"/>
      <c r="L672" s="31"/>
      <c r="M672" s="31"/>
      <c r="N672" s="31"/>
      <c r="O672" s="31"/>
      <c r="P672" s="31"/>
      <c r="Q672" s="31"/>
      <c r="R672" s="31"/>
      <c r="S672" s="31"/>
      <c r="T672" s="31"/>
      <c r="U672" s="31"/>
      <c r="V672" s="31"/>
      <c r="W672" s="31"/>
      <c r="X672" s="31"/>
      <c r="Y672" s="31"/>
      <c r="Z672" s="31"/>
    </row>
    <row r="673" ht="13.5" customHeight="1">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row>
    <row r="674" ht="13.5" customHeight="1">
      <c r="A674" s="40" t="s">
        <v>39</v>
      </c>
      <c r="B674" s="40" t="s">
        <v>40</v>
      </c>
      <c r="C674" s="40" t="s">
        <v>41</v>
      </c>
      <c r="D674" s="40" t="s">
        <v>42</v>
      </c>
      <c r="E674" s="40" t="s">
        <v>43</v>
      </c>
      <c r="F674" s="40" t="s">
        <v>44</v>
      </c>
      <c r="G674" s="31"/>
      <c r="H674" s="31"/>
      <c r="I674" s="31"/>
      <c r="J674" s="31"/>
      <c r="K674" s="31"/>
      <c r="L674" s="31"/>
      <c r="M674" s="31"/>
      <c r="N674" s="31"/>
      <c r="O674" s="31"/>
      <c r="P674" s="31"/>
      <c r="Q674" s="31"/>
      <c r="R674" s="31"/>
      <c r="S674" s="31"/>
      <c r="T674" s="31"/>
      <c r="U674" s="31"/>
      <c r="V674" s="31"/>
      <c r="W674" s="31"/>
      <c r="X674" s="31"/>
      <c r="Y674" s="31"/>
      <c r="Z674" s="31"/>
    </row>
    <row r="675" ht="13.5" customHeight="1">
      <c r="A675" s="41" t="s">
        <v>263</v>
      </c>
      <c r="B675" s="41" t="str">
        <f t="array" ref="B675">IFERROR(INDEX(#REF!,MATCH(INDIRECT(ADDRESS(ROW(),COLUMN()-1,4)),#REF!,0)),IF(INDIRECT(ADDRESS(ROW(),COLUMN()-1,4))="31371107","Ladrillos con formas",""))</f>
        <v>Ladrillos con formas</v>
      </c>
      <c r="C675" s="42" t="str">
        <f>IFERROR(VLOOKUP("UD",'Informacion '!P:Q,2,FALSE),"")</f>
        <v/>
      </c>
      <c r="D675" s="41">
        <v>1000.0</v>
      </c>
      <c r="E675" s="43">
        <v>20.0</v>
      </c>
      <c r="F675" s="43">
        <f>INDIRECT(ADDRESS(ROW(),COLUMN()-2,4))*INDIRECT(ADDRESS(ROW(),COLUMN()-1,4))</f>
        <v>20000</v>
      </c>
      <c r="G675" s="31"/>
      <c r="H675" s="31"/>
      <c r="I675" s="31"/>
      <c r="J675" s="31"/>
      <c r="K675" s="31"/>
      <c r="L675" s="31"/>
      <c r="M675" s="31"/>
      <c r="N675" s="31"/>
      <c r="O675" s="31"/>
      <c r="P675" s="31"/>
      <c r="Q675" s="31"/>
      <c r="R675" s="31"/>
      <c r="S675" s="31"/>
      <c r="T675" s="31"/>
      <c r="U675" s="31"/>
      <c r="V675" s="31"/>
      <c r="W675" s="31"/>
      <c r="X675" s="31"/>
      <c r="Y675" s="31"/>
      <c r="Z675" s="31"/>
    </row>
    <row r="676" ht="13.5" customHeight="1">
      <c r="A676" s="31"/>
      <c r="B676" s="31"/>
      <c r="C676" s="31"/>
      <c r="D676" s="31"/>
      <c r="E676" s="44" t="s">
        <v>63</v>
      </c>
      <c r="F676" s="45">
        <f>SUM(PACC!$F$675)</f>
        <v>20000</v>
      </c>
      <c r="G676" s="31"/>
      <c r="H676" s="31" t="str">
        <f>C668</f>
        <v>Bienes</v>
      </c>
      <c r="I676" s="31" t="str">
        <f>E668</f>
        <v>No</v>
      </c>
      <c r="J676" s="31" t="str">
        <f>D668</f>
        <v>Compras por debajo del Umbral</v>
      </c>
      <c r="K676" s="31"/>
      <c r="L676" s="31"/>
      <c r="M676" s="31"/>
      <c r="N676" s="31"/>
      <c r="O676" s="31"/>
      <c r="P676" s="31"/>
      <c r="Q676" s="31"/>
      <c r="R676" s="31"/>
      <c r="S676" s="31"/>
      <c r="T676" s="31"/>
      <c r="U676" s="31"/>
      <c r="V676" s="31"/>
      <c r="W676" s="31"/>
      <c r="X676" s="31"/>
      <c r="Y676" s="31"/>
      <c r="Z676" s="31"/>
    </row>
    <row r="677" ht="13.5" customHeight="1">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row>
    <row r="678" ht="33.75" customHeight="1">
      <c r="A678" s="32" t="s">
        <v>19</v>
      </c>
      <c r="B678" s="32" t="s">
        <v>20</v>
      </c>
      <c r="C678" s="32" t="s">
        <v>21</v>
      </c>
      <c r="D678" s="32" t="s">
        <v>22</v>
      </c>
      <c r="E678" s="32" t="s">
        <v>23</v>
      </c>
      <c r="F678" s="32" t="s">
        <v>24</v>
      </c>
      <c r="G678" s="31"/>
      <c r="H678" s="31"/>
      <c r="I678" s="31"/>
      <c r="J678" s="31"/>
      <c r="K678" s="31"/>
      <c r="L678" s="31"/>
      <c r="M678" s="31"/>
      <c r="N678" s="31"/>
      <c r="O678" s="31"/>
      <c r="P678" s="31"/>
      <c r="Q678" s="31"/>
      <c r="R678" s="31"/>
      <c r="S678" s="31"/>
      <c r="T678" s="31"/>
      <c r="U678" s="31"/>
      <c r="V678" s="31"/>
      <c r="W678" s="31"/>
      <c r="X678" s="31"/>
      <c r="Y678" s="31"/>
      <c r="Z678" s="31"/>
    </row>
    <row r="679" ht="13.5" customHeight="1">
      <c r="A679" s="33" t="s">
        <v>264</v>
      </c>
      <c r="B679" s="33" t="s">
        <v>265</v>
      </c>
      <c r="C679" s="33" t="s">
        <v>27</v>
      </c>
      <c r="D679" s="33" t="s">
        <v>124</v>
      </c>
      <c r="E679" s="33" t="s">
        <v>67</v>
      </c>
      <c r="F679" s="33"/>
      <c r="G679" s="31"/>
      <c r="H679" s="31"/>
      <c r="I679" s="31"/>
      <c r="J679" s="31"/>
      <c r="K679" s="31"/>
      <c r="L679" s="31"/>
      <c r="M679" s="31"/>
      <c r="N679" s="31"/>
      <c r="O679" s="31"/>
      <c r="P679" s="31"/>
      <c r="Q679" s="31"/>
      <c r="R679" s="31"/>
      <c r="S679" s="31"/>
      <c r="T679" s="31"/>
      <c r="U679" s="31"/>
      <c r="V679" s="31"/>
      <c r="W679" s="31"/>
      <c r="X679" s="31"/>
      <c r="Y679" s="31"/>
      <c r="Z679" s="31"/>
    </row>
    <row r="680" ht="13.5" customHeight="1">
      <c r="A680" s="34" t="s">
        <v>30</v>
      </c>
      <c r="B680" s="35" t="s">
        <v>31</v>
      </c>
      <c r="C680" s="36">
        <v>44966.0</v>
      </c>
      <c r="D680" s="34" t="s">
        <v>32</v>
      </c>
      <c r="E680" s="35" t="s">
        <v>33</v>
      </c>
      <c r="F680" s="37"/>
      <c r="G680" s="31"/>
      <c r="H680" s="31"/>
      <c r="I680" s="31"/>
      <c r="J680" s="31"/>
      <c r="K680" s="31"/>
      <c r="L680" s="31"/>
      <c r="M680" s="31"/>
      <c r="N680" s="31"/>
      <c r="O680" s="31"/>
      <c r="P680" s="31"/>
      <c r="Q680" s="31"/>
      <c r="R680" s="31"/>
      <c r="S680" s="31"/>
      <c r="T680" s="31"/>
      <c r="U680" s="31"/>
      <c r="V680" s="31"/>
      <c r="W680" s="31"/>
      <c r="X680" s="31"/>
      <c r="Y680" s="31"/>
      <c r="Z680" s="31"/>
    </row>
    <row r="681" ht="13.5" customHeight="1">
      <c r="A681" s="38"/>
      <c r="B681" s="35" t="s">
        <v>34</v>
      </c>
      <c r="C681" s="33">
        <f>IF(C680="","",IF(AND(MONTH(C680)&gt;=1,MONTH(C680)&lt;=3),1,IF(AND(MONTH(C680)&gt;=4,MONTH(C680)&lt;=6),2,IF(AND(MONTH(C680)&gt;=7,MONTH(C680)&lt;=9),3,4))))</f>
        <v>1</v>
      </c>
      <c r="D681" s="38"/>
      <c r="E681" s="35" t="s">
        <v>35</v>
      </c>
      <c r="F681" s="37"/>
      <c r="G681" s="31"/>
      <c r="H681" s="31"/>
      <c r="I681" s="31"/>
      <c r="J681" s="31"/>
      <c r="K681" s="31"/>
      <c r="L681" s="31"/>
      <c r="M681" s="31"/>
      <c r="N681" s="31"/>
      <c r="O681" s="31"/>
      <c r="P681" s="31"/>
      <c r="Q681" s="31"/>
      <c r="R681" s="31"/>
      <c r="S681" s="31"/>
      <c r="T681" s="31"/>
      <c r="U681" s="31"/>
      <c r="V681" s="31"/>
      <c r="W681" s="31"/>
      <c r="X681" s="31"/>
      <c r="Y681" s="31"/>
      <c r="Z681" s="31"/>
    </row>
    <row r="682" ht="13.5" customHeight="1">
      <c r="A682" s="38"/>
      <c r="B682" s="35" t="s">
        <v>36</v>
      </c>
      <c r="C682" s="36">
        <v>44967.0</v>
      </c>
      <c r="D682" s="38"/>
      <c r="E682" s="35" t="s">
        <v>37</v>
      </c>
      <c r="F682" s="37"/>
      <c r="G682" s="31"/>
      <c r="H682" s="31"/>
      <c r="I682" s="31"/>
      <c r="J682" s="31"/>
      <c r="K682" s="31"/>
      <c r="L682" s="31"/>
      <c r="M682" s="31"/>
      <c r="N682" s="31"/>
      <c r="O682" s="31"/>
      <c r="P682" s="31"/>
      <c r="Q682" s="31"/>
      <c r="R682" s="31"/>
      <c r="S682" s="31"/>
      <c r="T682" s="31"/>
      <c r="U682" s="31"/>
      <c r="V682" s="31"/>
      <c r="W682" s="31"/>
      <c r="X682" s="31"/>
      <c r="Y682" s="31"/>
      <c r="Z682" s="31"/>
    </row>
    <row r="683" ht="13.5" customHeight="1">
      <c r="A683" s="39"/>
      <c r="B683" s="35" t="s">
        <v>34</v>
      </c>
      <c r="C683" s="33">
        <f>IF(C682="","",IF(AND(MONTH(C682)&gt;=1,MONTH(C682)&lt;=3),1,IF(AND(MONTH(C682)&gt;=4,MONTH(C682)&lt;=6),2,IF(AND(MONTH(C682)&gt;=7,MONTH(C682)&lt;=9),3,4))))</f>
        <v>1</v>
      </c>
      <c r="D683" s="39"/>
      <c r="E683" s="35" t="s">
        <v>38</v>
      </c>
      <c r="F683" s="37"/>
      <c r="G683" s="31"/>
      <c r="H683" s="31"/>
      <c r="I683" s="31"/>
      <c r="J683" s="31"/>
      <c r="K683" s="31"/>
      <c r="L683" s="31"/>
      <c r="M683" s="31"/>
      <c r="N683" s="31"/>
      <c r="O683" s="31"/>
      <c r="P683" s="31"/>
      <c r="Q683" s="31"/>
      <c r="R683" s="31"/>
      <c r="S683" s="31"/>
      <c r="T683" s="31"/>
      <c r="U683" s="31"/>
      <c r="V683" s="31"/>
      <c r="W683" s="31"/>
      <c r="X683" s="31"/>
      <c r="Y683" s="31"/>
      <c r="Z683" s="31"/>
    </row>
    <row r="684" ht="13.5" customHeight="1">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row>
    <row r="685" ht="13.5" customHeight="1">
      <c r="A685" s="40" t="s">
        <v>39</v>
      </c>
      <c r="B685" s="40" t="s">
        <v>40</v>
      </c>
      <c r="C685" s="40" t="s">
        <v>41</v>
      </c>
      <c r="D685" s="40" t="s">
        <v>42</v>
      </c>
      <c r="E685" s="40" t="s">
        <v>43</v>
      </c>
      <c r="F685" s="40" t="s">
        <v>44</v>
      </c>
      <c r="G685" s="31"/>
      <c r="H685" s="31"/>
      <c r="I685" s="31"/>
      <c r="J685" s="31"/>
      <c r="K685" s="31"/>
      <c r="L685" s="31"/>
      <c r="M685" s="31"/>
      <c r="N685" s="31"/>
      <c r="O685" s="31"/>
      <c r="P685" s="31"/>
      <c r="Q685" s="31"/>
      <c r="R685" s="31"/>
      <c r="S685" s="31"/>
      <c r="T685" s="31"/>
      <c r="U685" s="31"/>
      <c r="V685" s="31"/>
      <c r="W685" s="31"/>
      <c r="X685" s="31"/>
      <c r="Y685" s="31"/>
      <c r="Z685" s="31"/>
    </row>
    <row r="686" ht="13.5" customHeight="1">
      <c r="A686" s="41" t="s">
        <v>266</v>
      </c>
      <c r="B686" s="41" t="str">
        <f t="array" ref="B686">IFERROR(INDEX(#REF!,MATCH(INDIRECT(ADDRESS(ROW(),COLUMN()-1,4)),#REF!,0)),IF(INDIRECT(ADDRESS(ROW(),COLUMN()-1,4))="30161711","Alfombras para exteriores",""))</f>
        <v>Alfombras para exteriores</v>
      </c>
      <c r="C686" s="42" t="str">
        <f>IFERROR(VLOOKUP("UD",'Informacion '!P:Q,2,FALSE),"")</f>
        <v/>
      </c>
      <c r="D686" s="41">
        <v>4.0</v>
      </c>
      <c r="E686" s="43">
        <v>5000.0</v>
      </c>
      <c r="F686" s="43">
        <f>INDIRECT(ADDRESS(ROW(),COLUMN()-2,4))*INDIRECT(ADDRESS(ROW(),COLUMN()-1,4))</f>
        <v>20000</v>
      </c>
      <c r="G686" s="31"/>
      <c r="H686" s="31"/>
      <c r="I686" s="31"/>
      <c r="J686" s="31"/>
      <c r="K686" s="31"/>
      <c r="L686" s="31"/>
      <c r="M686" s="31"/>
      <c r="N686" s="31"/>
      <c r="O686" s="31"/>
      <c r="P686" s="31"/>
      <c r="Q686" s="31"/>
      <c r="R686" s="31"/>
      <c r="S686" s="31"/>
      <c r="T686" s="31"/>
      <c r="U686" s="31"/>
      <c r="V686" s="31"/>
      <c r="W686" s="31"/>
      <c r="X686" s="31"/>
      <c r="Y686" s="31"/>
      <c r="Z686" s="31"/>
    </row>
    <row r="687" ht="13.5" customHeight="1">
      <c r="A687" s="31"/>
      <c r="B687" s="31"/>
      <c r="C687" s="31"/>
      <c r="D687" s="31"/>
      <c r="E687" s="44" t="s">
        <v>63</v>
      </c>
      <c r="F687" s="45">
        <f>SUM(PACC!$F$686)</f>
        <v>20000</v>
      </c>
      <c r="G687" s="31"/>
      <c r="H687" s="31" t="str">
        <f>C679</f>
        <v>Bienes</v>
      </c>
      <c r="I687" s="31" t="str">
        <f>E679</f>
        <v>No</v>
      </c>
      <c r="J687" s="31" t="str">
        <f>D679</f>
        <v>Compras por debajo del Umbral</v>
      </c>
      <c r="K687" s="31"/>
      <c r="L687" s="31"/>
      <c r="M687" s="31"/>
      <c r="N687" s="31"/>
      <c r="O687" s="31"/>
      <c r="P687" s="31"/>
      <c r="Q687" s="31"/>
      <c r="R687" s="31"/>
      <c r="S687" s="31"/>
      <c r="T687" s="31"/>
      <c r="U687" s="31"/>
      <c r="V687" s="31"/>
      <c r="W687" s="31"/>
      <c r="X687" s="31"/>
      <c r="Y687" s="31"/>
      <c r="Z687" s="31"/>
    </row>
    <row r="688" ht="13.5" customHeight="1">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row>
    <row r="689" ht="33.75" customHeight="1">
      <c r="A689" s="32" t="s">
        <v>19</v>
      </c>
      <c r="B689" s="32" t="s">
        <v>20</v>
      </c>
      <c r="C689" s="32" t="s">
        <v>21</v>
      </c>
      <c r="D689" s="32" t="s">
        <v>22</v>
      </c>
      <c r="E689" s="32" t="s">
        <v>23</v>
      </c>
      <c r="F689" s="32" t="s">
        <v>24</v>
      </c>
      <c r="G689" s="31"/>
      <c r="H689" s="31"/>
      <c r="I689" s="31"/>
      <c r="J689" s="31"/>
      <c r="K689" s="31"/>
      <c r="L689" s="31"/>
      <c r="M689" s="31"/>
      <c r="N689" s="31"/>
      <c r="O689" s="31"/>
      <c r="P689" s="31"/>
      <c r="Q689" s="31"/>
      <c r="R689" s="31"/>
      <c r="S689" s="31"/>
      <c r="T689" s="31"/>
      <c r="U689" s="31"/>
      <c r="V689" s="31"/>
      <c r="W689" s="31"/>
      <c r="X689" s="31"/>
      <c r="Y689" s="31"/>
      <c r="Z689" s="31"/>
    </row>
    <row r="690" ht="13.5" customHeight="1">
      <c r="A690" s="33" t="s">
        <v>267</v>
      </c>
      <c r="B690" s="33" t="s">
        <v>268</v>
      </c>
      <c r="C690" s="33" t="s">
        <v>27</v>
      </c>
      <c r="D690" s="33" t="s">
        <v>124</v>
      </c>
      <c r="E690" s="33" t="s">
        <v>67</v>
      </c>
      <c r="F690" s="33"/>
      <c r="G690" s="31"/>
      <c r="H690" s="31"/>
      <c r="I690" s="31"/>
      <c r="J690" s="31"/>
      <c r="K690" s="31"/>
      <c r="L690" s="31"/>
      <c r="M690" s="31"/>
      <c r="N690" s="31"/>
      <c r="O690" s="31"/>
      <c r="P690" s="31"/>
      <c r="Q690" s="31"/>
      <c r="R690" s="31"/>
      <c r="S690" s="31"/>
      <c r="T690" s="31"/>
      <c r="U690" s="31"/>
      <c r="V690" s="31"/>
      <c r="W690" s="31"/>
      <c r="X690" s="31"/>
      <c r="Y690" s="31"/>
      <c r="Z690" s="31"/>
    </row>
    <row r="691" ht="13.5" customHeight="1">
      <c r="A691" s="34" t="s">
        <v>30</v>
      </c>
      <c r="B691" s="35" t="s">
        <v>31</v>
      </c>
      <c r="C691" s="36">
        <v>45173.0</v>
      </c>
      <c r="D691" s="34" t="s">
        <v>32</v>
      </c>
      <c r="E691" s="35" t="s">
        <v>33</v>
      </c>
      <c r="F691" s="37"/>
      <c r="G691" s="31"/>
      <c r="H691" s="31"/>
      <c r="I691" s="31"/>
      <c r="J691" s="31"/>
      <c r="K691" s="31"/>
      <c r="L691" s="31"/>
      <c r="M691" s="31"/>
      <c r="N691" s="31"/>
      <c r="O691" s="31"/>
      <c r="P691" s="31"/>
      <c r="Q691" s="31"/>
      <c r="R691" s="31"/>
      <c r="S691" s="31"/>
      <c r="T691" s="31"/>
      <c r="U691" s="31"/>
      <c r="V691" s="31"/>
      <c r="W691" s="31"/>
      <c r="X691" s="31"/>
      <c r="Y691" s="31"/>
      <c r="Z691" s="31"/>
    </row>
    <row r="692" ht="13.5" customHeight="1">
      <c r="A692" s="38"/>
      <c r="B692" s="35" t="s">
        <v>34</v>
      </c>
      <c r="C692" s="33">
        <f>IF(C691="","",IF(AND(MONTH(C691)&gt;=1,MONTH(C691)&lt;=3),1,IF(AND(MONTH(C691)&gt;=4,MONTH(C691)&lt;=6),2,IF(AND(MONTH(C691)&gt;=7,MONTH(C691)&lt;=9),3,4))))</f>
        <v>3</v>
      </c>
      <c r="D692" s="38"/>
      <c r="E692" s="35" t="s">
        <v>35</v>
      </c>
      <c r="F692" s="37"/>
      <c r="G692" s="31"/>
      <c r="H692" s="31"/>
      <c r="I692" s="31"/>
      <c r="J692" s="31"/>
      <c r="K692" s="31"/>
      <c r="L692" s="31"/>
      <c r="M692" s="31"/>
      <c r="N692" s="31"/>
      <c r="O692" s="31"/>
      <c r="P692" s="31"/>
      <c r="Q692" s="31"/>
      <c r="R692" s="31"/>
      <c r="S692" s="31"/>
      <c r="T692" s="31"/>
      <c r="U692" s="31"/>
      <c r="V692" s="31"/>
      <c r="W692" s="31"/>
      <c r="X692" s="31"/>
      <c r="Y692" s="31"/>
      <c r="Z692" s="31"/>
    </row>
    <row r="693" ht="13.5" customHeight="1">
      <c r="A693" s="38"/>
      <c r="B693" s="35" t="s">
        <v>36</v>
      </c>
      <c r="C693" s="36">
        <v>45174.0</v>
      </c>
      <c r="D693" s="38"/>
      <c r="E693" s="35" t="s">
        <v>37</v>
      </c>
      <c r="F693" s="37"/>
      <c r="G693" s="31"/>
      <c r="H693" s="31"/>
      <c r="I693" s="31"/>
      <c r="J693" s="31"/>
      <c r="K693" s="31"/>
      <c r="L693" s="31"/>
      <c r="M693" s="31"/>
      <c r="N693" s="31"/>
      <c r="O693" s="31"/>
      <c r="P693" s="31"/>
      <c r="Q693" s="31"/>
      <c r="R693" s="31"/>
      <c r="S693" s="31"/>
      <c r="T693" s="31"/>
      <c r="U693" s="31"/>
      <c r="V693" s="31"/>
      <c r="W693" s="31"/>
      <c r="X693" s="31"/>
      <c r="Y693" s="31"/>
      <c r="Z693" s="31"/>
    </row>
    <row r="694" ht="13.5" customHeight="1">
      <c r="A694" s="39"/>
      <c r="B694" s="35" t="s">
        <v>34</v>
      </c>
      <c r="C694" s="33">
        <f>IF(C693="","",IF(AND(MONTH(C693)&gt;=1,MONTH(C693)&lt;=3),1,IF(AND(MONTH(C693)&gt;=4,MONTH(C693)&lt;=6),2,IF(AND(MONTH(C693)&gt;=7,MONTH(C693)&lt;=9),3,4))))</f>
        <v>3</v>
      </c>
      <c r="D694" s="39"/>
      <c r="E694" s="35" t="s">
        <v>38</v>
      </c>
      <c r="F694" s="37"/>
      <c r="G694" s="31"/>
      <c r="H694" s="31"/>
      <c r="I694" s="31"/>
      <c r="J694" s="31"/>
      <c r="K694" s="31"/>
      <c r="L694" s="31"/>
      <c r="M694" s="31"/>
      <c r="N694" s="31"/>
      <c r="O694" s="31"/>
      <c r="P694" s="31"/>
      <c r="Q694" s="31"/>
      <c r="R694" s="31"/>
      <c r="S694" s="31"/>
      <c r="T694" s="31"/>
      <c r="U694" s="31"/>
      <c r="V694" s="31"/>
      <c r="W694" s="31"/>
      <c r="X694" s="31"/>
      <c r="Y694" s="31"/>
      <c r="Z694" s="31"/>
    </row>
    <row r="695" ht="13.5" customHeight="1">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row>
    <row r="696" ht="13.5" customHeight="1">
      <c r="A696" s="40" t="s">
        <v>39</v>
      </c>
      <c r="B696" s="40" t="s">
        <v>40</v>
      </c>
      <c r="C696" s="40" t="s">
        <v>41</v>
      </c>
      <c r="D696" s="40" t="s">
        <v>42</v>
      </c>
      <c r="E696" s="40" t="s">
        <v>43</v>
      </c>
      <c r="F696" s="40" t="s">
        <v>44</v>
      </c>
      <c r="G696" s="31"/>
      <c r="H696" s="31"/>
      <c r="I696" s="31"/>
      <c r="J696" s="31"/>
      <c r="K696" s="31"/>
      <c r="L696" s="31"/>
      <c r="M696" s="31"/>
      <c r="N696" s="31"/>
      <c r="O696" s="31"/>
      <c r="P696" s="31"/>
      <c r="Q696" s="31"/>
      <c r="R696" s="31"/>
      <c r="S696" s="31"/>
      <c r="T696" s="31"/>
      <c r="U696" s="31"/>
      <c r="V696" s="31"/>
      <c r="W696" s="31"/>
      <c r="X696" s="31"/>
      <c r="Y696" s="31"/>
      <c r="Z696" s="31"/>
    </row>
    <row r="697" ht="13.5" customHeight="1">
      <c r="A697" s="41" t="s">
        <v>269</v>
      </c>
      <c r="B697" s="41" t="str">
        <f t="array" ref="B697">IFERROR(INDEX(#REF!,MATCH(INDIRECT(ADDRESS(ROW(),COLUMN()-1,4)),#REF!,0)),IF(INDIRECT(ADDRESS(ROW(),COLUMN()-1,4))="24101504","Carretones de mano o accesorios",""))</f>
        <v>Carretones de mano o accesorios</v>
      </c>
      <c r="C697" s="42" t="str">
        <f>IFERROR(VLOOKUP("UD",'Informacion '!P:Q,2,FALSE),"")</f>
        <v/>
      </c>
      <c r="D697" s="41">
        <v>1.0</v>
      </c>
      <c r="E697" s="43">
        <v>10000.0</v>
      </c>
      <c r="F697" s="43">
        <f>INDIRECT(ADDRESS(ROW(),COLUMN()-2,4))*INDIRECT(ADDRESS(ROW(),COLUMN()-1,4))</f>
        <v>10000</v>
      </c>
      <c r="G697" s="31"/>
      <c r="H697" s="31"/>
      <c r="I697" s="31"/>
      <c r="J697" s="31"/>
      <c r="K697" s="31"/>
      <c r="L697" s="31"/>
      <c r="M697" s="31"/>
      <c r="N697" s="31"/>
      <c r="O697" s="31"/>
      <c r="P697" s="31"/>
      <c r="Q697" s="31"/>
      <c r="R697" s="31"/>
      <c r="S697" s="31"/>
      <c r="T697" s="31"/>
      <c r="U697" s="31"/>
      <c r="V697" s="31"/>
      <c r="W697" s="31"/>
      <c r="X697" s="31"/>
      <c r="Y697" s="31"/>
      <c r="Z697" s="31"/>
    </row>
    <row r="698" ht="13.5" customHeight="1">
      <c r="A698" s="31"/>
      <c r="B698" s="31"/>
      <c r="C698" s="31"/>
      <c r="D698" s="31"/>
      <c r="E698" s="44" t="s">
        <v>63</v>
      </c>
      <c r="F698" s="45">
        <f>SUM(PACC!$F$697)</f>
        <v>10000</v>
      </c>
      <c r="G698" s="31"/>
      <c r="H698" s="31" t="str">
        <f>C690</f>
        <v>Bienes</v>
      </c>
      <c r="I698" s="31" t="str">
        <f>E690</f>
        <v>No</v>
      </c>
      <c r="J698" s="31" t="str">
        <f>D690</f>
        <v>Compras por debajo del Umbral</v>
      </c>
      <c r="K698" s="31"/>
      <c r="L698" s="31"/>
      <c r="M698" s="31"/>
      <c r="N698" s="31"/>
      <c r="O698" s="31"/>
      <c r="P698" s="31"/>
      <c r="Q698" s="31"/>
      <c r="R698" s="31"/>
      <c r="S698" s="31"/>
      <c r="T698" s="31"/>
      <c r="U698" s="31"/>
      <c r="V698" s="31"/>
      <c r="W698" s="31"/>
      <c r="X698" s="31"/>
      <c r="Y698" s="31"/>
      <c r="Z698" s="31"/>
    </row>
    <row r="699" ht="13.5" customHeight="1">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row>
    <row r="700" ht="33.75" customHeight="1">
      <c r="A700" s="32" t="s">
        <v>19</v>
      </c>
      <c r="B700" s="32" t="s">
        <v>20</v>
      </c>
      <c r="C700" s="32" t="s">
        <v>21</v>
      </c>
      <c r="D700" s="32" t="s">
        <v>22</v>
      </c>
      <c r="E700" s="32" t="s">
        <v>23</v>
      </c>
      <c r="F700" s="32" t="s">
        <v>24</v>
      </c>
      <c r="G700" s="31"/>
      <c r="H700" s="31"/>
      <c r="I700" s="31"/>
      <c r="J700" s="31"/>
      <c r="K700" s="31"/>
      <c r="L700" s="31"/>
      <c r="M700" s="31"/>
      <c r="N700" s="31"/>
      <c r="O700" s="31"/>
      <c r="P700" s="31"/>
      <c r="Q700" s="31"/>
      <c r="R700" s="31"/>
      <c r="S700" s="31"/>
      <c r="T700" s="31"/>
      <c r="U700" s="31"/>
      <c r="V700" s="31"/>
      <c r="W700" s="31"/>
      <c r="X700" s="31"/>
      <c r="Y700" s="31"/>
      <c r="Z700" s="31"/>
    </row>
    <row r="701" ht="13.5" customHeight="1">
      <c r="A701" s="33" t="s">
        <v>270</v>
      </c>
      <c r="B701" s="33" t="s">
        <v>271</v>
      </c>
      <c r="C701" s="33" t="s">
        <v>27</v>
      </c>
      <c r="D701" s="33" t="s">
        <v>103</v>
      </c>
      <c r="E701" s="33" t="s">
        <v>67</v>
      </c>
      <c r="F701" s="33"/>
      <c r="G701" s="31"/>
      <c r="H701" s="31"/>
      <c r="I701" s="31"/>
      <c r="J701" s="31"/>
      <c r="K701" s="31"/>
      <c r="L701" s="31"/>
      <c r="M701" s="31"/>
      <c r="N701" s="31"/>
      <c r="O701" s="31"/>
      <c r="P701" s="31"/>
      <c r="Q701" s="31"/>
      <c r="R701" s="31"/>
      <c r="S701" s="31"/>
      <c r="T701" s="31"/>
      <c r="U701" s="31"/>
      <c r="V701" s="31"/>
      <c r="W701" s="31"/>
      <c r="X701" s="31"/>
      <c r="Y701" s="31"/>
      <c r="Z701" s="31"/>
    </row>
    <row r="702" ht="13.5" customHeight="1">
      <c r="A702" s="34" t="s">
        <v>30</v>
      </c>
      <c r="B702" s="35" t="s">
        <v>31</v>
      </c>
      <c r="C702" s="36">
        <v>45033.0</v>
      </c>
      <c r="D702" s="34" t="s">
        <v>32</v>
      </c>
      <c r="E702" s="35" t="s">
        <v>33</v>
      </c>
      <c r="F702" s="37"/>
      <c r="G702" s="31"/>
      <c r="H702" s="31"/>
      <c r="I702" s="31"/>
      <c r="J702" s="31"/>
      <c r="K702" s="31"/>
      <c r="L702" s="31"/>
      <c r="M702" s="31"/>
      <c r="N702" s="31"/>
      <c r="O702" s="31"/>
      <c r="P702" s="31"/>
      <c r="Q702" s="31"/>
      <c r="R702" s="31"/>
      <c r="S702" s="31"/>
      <c r="T702" s="31"/>
      <c r="U702" s="31"/>
      <c r="V702" s="31"/>
      <c r="W702" s="31"/>
      <c r="X702" s="31"/>
      <c r="Y702" s="31"/>
      <c r="Z702" s="31"/>
    </row>
    <row r="703" ht="13.5" customHeight="1">
      <c r="A703" s="38"/>
      <c r="B703" s="35" t="s">
        <v>34</v>
      </c>
      <c r="C703" s="33">
        <f>IF(C702="","",IF(AND(MONTH(C702)&gt;=1,MONTH(C702)&lt;=3),1,IF(AND(MONTH(C702)&gt;=4,MONTH(C702)&lt;=6),2,IF(AND(MONTH(C702)&gt;=7,MONTH(C702)&lt;=9),3,4))))</f>
        <v>2</v>
      </c>
      <c r="D703" s="38"/>
      <c r="E703" s="35" t="s">
        <v>35</v>
      </c>
      <c r="F703" s="37"/>
      <c r="G703" s="31"/>
      <c r="H703" s="31"/>
      <c r="I703" s="31"/>
      <c r="J703" s="31"/>
      <c r="K703" s="31"/>
      <c r="L703" s="31"/>
      <c r="M703" s="31"/>
      <c r="N703" s="31"/>
      <c r="O703" s="31"/>
      <c r="P703" s="31"/>
      <c r="Q703" s="31"/>
      <c r="R703" s="31"/>
      <c r="S703" s="31"/>
      <c r="T703" s="31"/>
      <c r="U703" s="31"/>
      <c r="V703" s="31"/>
      <c r="W703" s="31"/>
      <c r="X703" s="31"/>
      <c r="Y703" s="31"/>
      <c r="Z703" s="31"/>
    </row>
    <row r="704" ht="13.5" customHeight="1">
      <c r="A704" s="38"/>
      <c r="B704" s="35" t="s">
        <v>36</v>
      </c>
      <c r="C704" s="36">
        <v>45061.0</v>
      </c>
      <c r="D704" s="38"/>
      <c r="E704" s="35" t="s">
        <v>37</v>
      </c>
      <c r="F704" s="37"/>
      <c r="G704" s="31"/>
      <c r="H704" s="31"/>
      <c r="I704" s="31"/>
      <c r="J704" s="31"/>
      <c r="K704" s="31"/>
      <c r="L704" s="31"/>
      <c r="M704" s="31"/>
      <c r="N704" s="31"/>
      <c r="O704" s="31"/>
      <c r="P704" s="31"/>
      <c r="Q704" s="31"/>
      <c r="R704" s="31"/>
      <c r="S704" s="31"/>
      <c r="T704" s="31"/>
      <c r="U704" s="31"/>
      <c r="V704" s="31"/>
      <c r="W704" s="31"/>
      <c r="X704" s="31"/>
      <c r="Y704" s="31"/>
      <c r="Z704" s="31"/>
    </row>
    <row r="705" ht="13.5" customHeight="1">
      <c r="A705" s="39"/>
      <c r="B705" s="35" t="s">
        <v>34</v>
      </c>
      <c r="C705" s="33">
        <f>IF(C704="","",IF(AND(MONTH(C704)&gt;=1,MONTH(C704)&lt;=3),1,IF(AND(MONTH(C704)&gt;=4,MONTH(C704)&lt;=6),2,IF(AND(MONTH(C704)&gt;=7,MONTH(C704)&lt;=9),3,4))))</f>
        <v>2</v>
      </c>
      <c r="D705" s="39"/>
      <c r="E705" s="35" t="s">
        <v>38</v>
      </c>
      <c r="F705" s="37"/>
      <c r="G705" s="31"/>
      <c r="H705" s="31"/>
      <c r="I705" s="31"/>
      <c r="J705" s="31"/>
      <c r="K705" s="31"/>
      <c r="L705" s="31"/>
      <c r="M705" s="31"/>
      <c r="N705" s="31"/>
      <c r="O705" s="31"/>
      <c r="P705" s="31"/>
      <c r="Q705" s="31"/>
      <c r="R705" s="31"/>
      <c r="S705" s="31"/>
      <c r="T705" s="31"/>
      <c r="U705" s="31"/>
      <c r="V705" s="31"/>
      <c r="W705" s="31"/>
      <c r="X705" s="31"/>
      <c r="Y705" s="31"/>
      <c r="Z705" s="31"/>
    </row>
    <row r="706" ht="13.5" customHeight="1">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row>
    <row r="707" ht="13.5" customHeight="1">
      <c r="A707" s="40" t="s">
        <v>39</v>
      </c>
      <c r="B707" s="40" t="s">
        <v>40</v>
      </c>
      <c r="C707" s="40" t="s">
        <v>41</v>
      </c>
      <c r="D707" s="40" t="s">
        <v>42</v>
      </c>
      <c r="E707" s="40" t="s">
        <v>43</v>
      </c>
      <c r="F707" s="40" t="s">
        <v>44</v>
      </c>
      <c r="G707" s="31"/>
      <c r="H707" s="31"/>
      <c r="I707" s="31"/>
      <c r="J707" s="31"/>
      <c r="K707" s="31"/>
      <c r="L707" s="31"/>
      <c r="M707" s="31"/>
      <c r="N707" s="31"/>
      <c r="O707" s="31"/>
      <c r="P707" s="31"/>
      <c r="Q707" s="31"/>
      <c r="R707" s="31"/>
      <c r="S707" s="31"/>
      <c r="T707" s="31"/>
      <c r="U707" s="31"/>
      <c r="V707" s="31"/>
      <c r="W707" s="31"/>
      <c r="X707" s="31"/>
      <c r="Y707" s="31"/>
      <c r="Z707" s="31"/>
    </row>
    <row r="708" ht="13.5" customHeight="1">
      <c r="A708" s="41" t="s">
        <v>272</v>
      </c>
      <c r="B708" s="41" t="str">
        <f t="shared" ref="B708:B711" si="77">IFERROR(INDEX(#REF!,MATCH(INDIRECT(ADDRESS(ROW(),COLUMN()-1,4)),#REF!,0)),IF(INDIRECT(ADDRESS(ROW(),COLUMN()-1,4))="47131706","Dispensadores de ambientadores",""))</f>
        <v>Dispensadores de ambientadores</v>
      </c>
      <c r="C708" s="42" t="str">
        <f t="shared" ref="C708:C728" si="78">IFERROR(VLOOKUP("UD",'Informacion '!P:Q,2,FALSE),"")</f>
        <v/>
      </c>
      <c r="D708" s="41">
        <v>100.0</v>
      </c>
      <c r="E708" s="43">
        <v>950.0</v>
      </c>
      <c r="F708" s="43">
        <f t="shared" ref="F708:F728" si="79">INDIRECT(ADDRESS(ROW(),COLUMN()-2,4))*INDIRECT(ADDRESS(ROW(),COLUMN()-1,4))</f>
        <v>95000</v>
      </c>
      <c r="G708" s="31"/>
      <c r="H708" s="31"/>
      <c r="I708" s="31"/>
      <c r="J708" s="31"/>
      <c r="K708" s="31"/>
      <c r="L708" s="31"/>
      <c r="M708" s="31"/>
      <c r="N708" s="31"/>
      <c r="O708" s="31"/>
      <c r="P708" s="31"/>
      <c r="Q708" s="31"/>
      <c r="R708" s="31"/>
      <c r="S708" s="31"/>
      <c r="T708" s="31"/>
      <c r="U708" s="31"/>
      <c r="V708" s="31"/>
      <c r="W708" s="31"/>
      <c r="X708" s="31"/>
      <c r="Y708" s="31"/>
      <c r="Z708" s="31"/>
    </row>
    <row r="709" ht="13.5" customHeight="1">
      <c r="A709" s="41" t="s">
        <v>272</v>
      </c>
      <c r="B709" s="41" t="str">
        <f t="shared" si="77"/>
        <v>Dispensadores de ambientadores</v>
      </c>
      <c r="C709" s="42" t="str">
        <f t="shared" si="78"/>
        <v/>
      </c>
      <c r="D709" s="41">
        <v>300.0</v>
      </c>
      <c r="E709" s="43">
        <v>590.0</v>
      </c>
      <c r="F709" s="43">
        <f t="shared" si="79"/>
        <v>177000</v>
      </c>
      <c r="G709" s="31"/>
      <c r="H709" s="31"/>
      <c r="I709" s="31"/>
      <c r="J709" s="31"/>
      <c r="K709" s="31"/>
      <c r="L709" s="31"/>
      <c r="M709" s="31"/>
      <c r="N709" s="31"/>
      <c r="O709" s="31"/>
      <c r="P709" s="31"/>
      <c r="Q709" s="31"/>
      <c r="R709" s="31"/>
      <c r="S709" s="31"/>
      <c r="T709" s="31"/>
      <c r="U709" s="31"/>
      <c r="V709" s="31"/>
      <c r="W709" s="31"/>
      <c r="X709" s="31"/>
      <c r="Y709" s="31"/>
      <c r="Z709" s="31"/>
    </row>
    <row r="710" ht="13.5" customHeight="1">
      <c r="A710" s="41" t="s">
        <v>272</v>
      </c>
      <c r="B710" s="41" t="str">
        <f t="shared" si="77"/>
        <v>Dispensadores de ambientadores</v>
      </c>
      <c r="C710" s="42" t="str">
        <f t="shared" si="78"/>
        <v/>
      </c>
      <c r="D710" s="41">
        <v>200.0</v>
      </c>
      <c r="E710" s="43">
        <v>395.0</v>
      </c>
      <c r="F710" s="43">
        <f t="shared" si="79"/>
        <v>79000</v>
      </c>
      <c r="G710" s="31"/>
      <c r="H710" s="31"/>
      <c r="I710" s="31"/>
      <c r="J710" s="31"/>
      <c r="K710" s="31"/>
      <c r="L710" s="31"/>
      <c r="M710" s="31"/>
      <c r="N710" s="31"/>
      <c r="O710" s="31"/>
      <c r="P710" s="31"/>
      <c r="Q710" s="31"/>
      <c r="R710" s="31"/>
      <c r="S710" s="31"/>
      <c r="T710" s="31"/>
      <c r="U710" s="31"/>
      <c r="V710" s="31"/>
      <c r="W710" s="31"/>
      <c r="X710" s="31"/>
      <c r="Y710" s="31"/>
      <c r="Z710" s="31"/>
    </row>
    <row r="711" ht="13.5" customHeight="1">
      <c r="A711" s="41" t="s">
        <v>272</v>
      </c>
      <c r="B711" s="41" t="str">
        <f t="shared" si="77"/>
        <v>Dispensadores de ambientadores</v>
      </c>
      <c r="C711" s="42" t="str">
        <f t="shared" si="78"/>
        <v/>
      </c>
      <c r="D711" s="41">
        <v>300.0</v>
      </c>
      <c r="E711" s="43">
        <v>110.0</v>
      </c>
      <c r="F711" s="43">
        <f t="shared" si="79"/>
        <v>33000</v>
      </c>
      <c r="G711" s="31"/>
      <c r="H711" s="31"/>
      <c r="I711" s="31"/>
      <c r="J711" s="31"/>
      <c r="K711" s="31"/>
      <c r="L711" s="31"/>
      <c r="M711" s="31"/>
      <c r="N711" s="31"/>
      <c r="O711" s="31"/>
      <c r="P711" s="31"/>
      <c r="Q711" s="31"/>
      <c r="R711" s="31"/>
      <c r="S711" s="31"/>
      <c r="T711" s="31"/>
      <c r="U711" s="31"/>
      <c r="V711" s="31"/>
      <c r="W711" s="31"/>
      <c r="X711" s="31"/>
      <c r="Y711" s="31"/>
      <c r="Z711" s="31"/>
    </row>
    <row r="712" ht="13.5" customHeight="1">
      <c r="A712" s="41" t="s">
        <v>273</v>
      </c>
      <c r="B712" s="41" t="str">
        <f t="array" ref="B712">IFERROR(INDEX(#REF!,MATCH(INDIRECT(ADDRESS(ROW(),COLUMN()-1,4)),#REF!,0)),IF(INDIRECT(ADDRESS(ROW(),COLUMN()-1,4))="47131702","Dispensadores de productos sanitarios",""))</f>
        <v>Dispensadores de productos sanitarios</v>
      </c>
      <c r="C712" s="42" t="str">
        <f t="shared" si="78"/>
        <v/>
      </c>
      <c r="D712" s="41">
        <v>30.0</v>
      </c>
      <c r="E712" s="43">
        <v>225.0</v>
      </c>
      <c r="F712" s="43">
        <f t="shared" si="79"/>
        <v>6750</v>
      </c>
      <c r="G712" s="31"/>
      <c r="H712" s="31"/>
      <c r="I712" s="31"/>
      <c r="J712" s="31"/>
      <c r="K712" s="31"/>
      <c r="L712" s="31"/>
      <c r="M712" s="31"/>
      <c r="N712" s="31"/>
      <c r="O712" s="31"/>
      <c r="P712" s="31"/>
      <c r="Q712" s="31"/>
      <c r="R712" s="31"/>
      <c r="S712" s="31"/>
      <c r="T712" s="31"/>
      <c r="U712" s="31"/>
      <c r="V712" s="31"/>
      <c r="W712" s="31"/>
      <c r="X712" s="31"/>
      <c r="Y712" s="31"/>
      <c r="Z712" s="31"/>
    </row>
    <row r="713" ht="13.5" customHeight="1">
      <c r="A713" s="41" t="s">
        <v>274</v>
      </c>
      <c r="B713" s="41" t="str">
        <f t="array" ref="B713">IFERROR(INDEX(#REF!,MATCH(INDIRECT(ADDRESS(ROW(),COLUMN()-1,4)),#REF!,0)),IF(INDIRECT(ADDRESS(ROW(),COLUMN()-1,4))="47131605","Cepillos de limpieza",""))</f>
        <v>Cepillos de limpieza</v>
      </c>
      <c r="C713" s="42" t="str">
        <f t="shared" si="78"/>
        <v/>
      </c>
      <c r="D713" s="41">
        <v>20.0</v>
      </c>
      <c r="E713" s="43">
        <v>125.0</v>
      </c>
      <c r="F713" s="43">
        <f t="shared" si="79"/>
        <v>2500</v>
      </c>
      <c r="G713" s="31"/>
      <c r="H713" s="31"/>
      <c r="I713" s="31"/>
      <c r="J713" s="31"/>
      <c r="K713" s="31"/>
      <c r="L713" s="31"/>
      <c r="M713" s="31"/>
      <c r="N713" s="31"/>
      <c r="O713" s="31"/>
      <c r="P713" s="31"/>
      <c r="Q713" s="31"/>
      <c r="R713" s="31"/>
      <c r="S713" s="31"/>
      <c r="T713" s="31"/>
      <c r="U713" s="31"/>
      <c r="V713" s="31"/>
      <c r="W713" s="31"/>
      <c r="X713" s="31"/>
      <c r="Y713" s="31"/>
      <c r="Z713" s="31"/>
    </row>
    <row r="714" ht="13.5" customHeight="1">
      <c r="A714" s="41" t="s">
        <v>275</v>
      </c>
      <c r="B714" s="41" t="str">
        <f t="array" ref="B714">IFERROR(INDEX(#REF!,MATCH(INDIRECT(ADDRESS(ROW(),COLUMN()-1,4)),#REF!,0)),IF(INDIRECT(ADDRESS(ROW(),COLUMN()-1,4))="47131807","Blanqueadores",""))</f>
        <v>Blanqueadores</v>
      </c>
      <c r="C714" s="42" t="str">
        <f t="shared" si="78"/>
        <v/>
      </c>
      <c r="D714" s="41">
        <v>100.0</v>
      </c>
      <c r="E714" s="43">
        <v>104.5</v>
      </c>
      <c r="F714" s="43">
        <f t="shared" si="79"/>
        <v>10450</v>
      </c>
      <c r="G714" s="31"/>
      <c r="H714" s="31"/>
      <c r="I714" s="31"/>
      <c r="J714" s="31"/>
      <c r="K714" s="31"/>
      <c r="L714" s="31"/>
      <c r="M714" s="31"/>
      <c r="N714" s="31"/>
      <c r="O714" s="31"/>
      <c r="P714" s="31"/>
      <c r="Q714" s="31"/>
      <c r="R714" s="31"/>
      <c r="S714" s="31"/>
      <c r="T714" s="31"/>
      <c r="U714" s="31"/>
      <c r="V714" s="31"/>
      <c r="W714" s="31"/>
      <c r="X714" s="31"/>
      <c r="Y714" s="31"/>
      <c r="Z714" s="31"/>
    </row>
    <row r="715" ht="13.5" customHeight="1">
      <c r="A715" s="41" t="s">
        <v>276</v>
      </c>
      <c r="B715" s="41" t="str">
        <f t="array" ref="B715">IFERROR(INDEX(#REF!,MATCH(INDIRECT(ADDRESS(ROW(),COLUMN()-1,4)),#REF!,0)),IF(INDIRECT(ADDRESS(ROW(),COLUMN()-1,4))="47131801","Limpiadores de pisos",""))</f>
        <v>Limpiadores de pisos</v>
      </c>
      <c r="C715" s="42" t="str">
        <f t="shared" si="78"/>
        <v/>
      </c>
      <c r="D715" s="41">
        <v>20.0</v>
      </c>
      <c r="E715" s="43">
        <v>450.0</v>
      </c>
      <c r="F715" s="43">
        <f t="shared" si="79"/>
        <v>9000</v>
      </c>
      <c r="G715" s="31"/>
      <c r="H715" s="31"/>
      <c r="I715" s="31"/>
      <c r="J715" s="31"/>
      <c r="K715" s="31"/>
      <c r="L715" s="31"/>
      <c r="M715" s="31"/>
      <c r="N715" s="31"/>
      <c r="O715" s="31"/>
      <c r="P715" s="31"/>
      <c r="Q715" s="31"/>
      <c r="R715" s="31"/>
      <c r="S715" s="31"/>
      <c r="T715" s="31"/>
      <c r="U715" s="31"/>
      <c r="V715" s="31"/>
      <c r="W715" s="31"/>
      <c r="X715" s="31"/>
      <c r="Y715" s="31"/>
      <c r="Z715" s="31"/>
    </row>
    <row r="716" ht="13.5" customHeight="1">
      <c r="A716" s="41" t="s">
        <v>277</v>
      </c>
      <c r="B716" s="41" t="str">
        <f t="array" ref="B716">IFERROR(INDEX(#REF!,MATCH(INDIRECT(ADDRESS(ROW(),COLUMN()-1,4)),#REF!,0)),IF(INDIRECT(ADDRESS(ROW(),COLUMN()-1,4))="47131803","Desinfectantes para uso doméstico",""))</f>
        <v>Desinfectantes para uso doméstico</v>
      </c>
      <c r="C716" s="42" t="str">
        <f t="shared" si="78"/>
        <v/>
      </c>
      <c r="D716" s="41">
        <v>200.0</v>
      </c>
      <c r="E716" s="43">
        <v>325.0</v>
      </c>
      <c r="F716" s="43">
        <f t="shared" si="79"/>
        <v>65000</v>
      </c>
      <c r="G716" s="31"/>
      <c r="H716" s="31"/>
      <c r="I716" s="31"/>
      <c r="J716" s="31"/>
      <c r="K716" s="31"/>
      <c r="L716" s="31"/>
      <c r="M716" s="31"/>
      <c r="N716" s="31"/>
      <c r="O716" s="31"/>
      <c r="P716" s="31"/>
      <c r="Q716" s="31"/>
      <c r="R716" s="31"/>
      <c r="S716" s="31"/>
      <c r="T716" s="31"/>
      <c r="U716" s="31"/>
      <c r="V716" s="31"/>
      <c r="W716" s="31"/>
      <c r="X716" s="31"/>
      <c r="Y716" s="31"/>
      <c r="Z716" s="31"/>
    </row>
    <row r="717" ht="13.5" customHeight="1">
      <c r="A717" s="41" t="s">
        <v>278</v>
      </c>
      <c r="B717" s="41" t="str">
        <f t="array" ref="B717">IFERROR(INDEX(#REF!,MATCH(INDIRECT(ADDRESS(ROW(),COLUMN()-1,4)),#REF!,0)),IF(INDIRECT(ADDRESS(ROW(),COLUMN()-1,4))="47131818","Antiséptico de aire",""))</f>
        <v>Antiséptico de aire</v>
      </c>
      <c r="C717" s="42" t="str">
        <f t="shared" si="78"/>
        <v/>
      </c>
      <c r="D717" s="41">
        <v>300.0</v>
      </c>
      <c r="E717" s="43">
        <v>495.0</v>
      </c>
      <c r="F717" s="43">
        <f t="shared" si="79"/>
        <v>148500</v>
      </c>
      <c r="G717" s="31"/>
      <c r="H717" s="31"/>
      <c r="I717" s="31"/>
      <c r="J717" s="31"/>
      <c r="K717" s="31"/>
      <c r="L717" s="31"/>
      <c r="M717" s="31"/>
      <c r="N717" s="31"/>
      <c r="O717" s="31"/>
      <c r="P717" s="31"/>
      <c r="Q717" s="31"/>
      <c r="R717" s="31"/>
      <c r="S717" s="31"/>
      <c r="T717" s="31"/>
      <c r="U717" s="31"/>
      <c r="V717" s="31"/>
      <c r="W717" s="31"/>
      <c r="X717" s="31"/>
      <c r="Y717" s="31"/>
      <c r="Z717" s="31"/>
    </row>
    <row r="718" ht="13.5" customHeight="1">
      <c r="A718" s="41" t="s">
        <v>277</v>
      </c>
      <c r="B718" s="41" t="str">
        <f t="array" ref="B718">IFERROR(INDEX(#REF!,MATCH(INDIRECT(ADDRESS(ROW(),COLUMN()-1,4)),#REF!,0)),IF(INDIRECT(ADDRESS(ROW(),COLUMN()-1,4))="47131803","Desinfectantes para uso doméstico",""))</f>
        <v>Desinfectantes para uso doméstico</v>
      </c>
      <c r="C718" s="42" t="str">
        <f t="shared" si="78"/>
        <v/>
      </c>
      <c r="D718" s="41">
        <v>300.0</v>
      </c>
      <c r="E718" s="43">
        <v>125.0</v>
      </c>
      <c r="F718" s="43">
        <f t="shared" si="79"/>
        <v>37500</v>
      </c>
      <c r="G718" s="31"/>
      <c r="H718" s="31"/>
      <c r="I718" s="31"/>
      <c r="J718" s="31"/>
      <c r="K718" s="31"/>
      <c r="L718" s="31"/>
      <c r="M718" s="31"/>
      <c r="N718" s="31"/>
      <c r="O718" s="31"/>
      <c r="P718" s="31"/>
      <c r="Q718" s="31"/>
      <c r="R718" s="31"/>
      <c r="S718" s="31"/>
      <c r="T718" s="31"/>
      <c r="U718" s="31"/>
      <c r="V718" s="31"/>
      <c r="W718" s="31"/>
      <c r="X718" s="31"/>
      <c r="Y718" s="31"/>
      <c r="Z718" s="31"/>
    </row>
    <row r="719" ht="13.5" customHeight="1">
      <c r="A719" s="41" t="s">
        <v>279</v>
      </c>
      <c r="B719" s="41" t="str">
        <f t="array" ref="B719">IFERROR(INDEX(#REF!,MATCH(INDIRECT(ADDRESS(ROW(),COLUMN()-1,4)),#REF!,0)),IF(INDIRECT(ADDRESS(ROW(),COLUMN()-1,4))="47131604","Escobas",""))</f>
        <v>Escobas</v>
      </c>
      <c r="C719" s="42" t="str">
        <f t="shared" si="78"/>
        <v/>
      </c>
      <c r="D719" s="41">
        <v>15.0</v>
      </c>
      <c r="E719" s="43">
        <v>250.0</v>
      </c>
      <c r="F719" s="43">
        <f t="shared" si="79"/>
        <v>3750</v>
      </c>
      <c r="G719" s="31"/>
      <c r="H719" s="31"/>
      <c r="I719" s="31"/>
      <c r="J719" s="31"/>
      <c r="K719" s="31"/>
      <c r="L719" s="31"/>
      <c r="M719" s="31"/>
      <c r="N719" s="31"/>
      <c r="O719" s="31"/>
      <c r="P719" s="31"/>
      <c r="Q719" s="31"/>
      <c r="R719" s="31"/>
      <c r="S719" s="31"/>
      <c r="T719" s="31"/>
      <c r="U719" s="31"/>
      <c r="V719" s="31"/>
      <c r="W719" s="31"/>
      <c r="X719" s="31"/>
      <c r="Y719" s="31"/>
      <c r="Z719" s="31"/>
    </row>
    <row r="720" ht="13.5" customHeight="1">
      <c r="A720" s="41" t="s">
        <v>280</v>
      </c>
      <c r="B720" s="41" t="str">
        <f t="shared" ref="B720:B721" si="80">IFERROR(INDEX(#REF!,MATCH(INDIRECT(ADDRESS(ROW(),COLUMN()-1,4)),#REF!,0)),IF(INDIRECT(ADDRESS(ROW(),COLUMN()-1,4))="47131805","Limpiadores de propósito general",""))</f>
        <v>Limpiadores de propósito general</v>
      </c>
      <c r="C720" s="42" t="str">
        <f t="shared" si="78"/>
        <v/>
      </c>
      <c r="D720" s="41">
        <v>100.0</v>
      </c>
      <c r="E720" s="43">
        <v>350.0</v>
      </c>
      <c r="F720" s="43">
        <f t="shared" si="79"/>
        <v>35000</v>
      </c>
      <c r="G720" s="31"/>
      <c r="H720" s="31"/>
      <c r="I720" s="31"/>
      <c r="J720" s="31"/>
      <c r="K720" s="31"/>
      <c r="L720" s="31"/>
      <c r="M720" s="31"/>
      <c r="N720" s="31"/>
      <c r="O720" s="31"/>
      <c r="P720" s="31"/>
      <c r="Q720" s="31"/>
      <c r="R720" s="31"/>
      <c r="S720" s="31"/>
      <c r="T720" s="31"/>
      <c r="U720" s="31"/>
      <c r="V720" s="31"/>
      <c r="W720" s="31"/>
      <c r="X720" s="31"/>
      <c r="Y720" s="31"/>
      <c r="Z720" s="31"/>
    </row>
    <row r="721" ht="13.5" customHeight="1">
      <c r="A721" s="41" t="s">
        <v>280</v>
      </c>
      <c r="B721" s="41" t="str">
        <f t="shared" si="80"/>
        <v>Limpiadores de propósito general</v>
      </c>
      <c r="C721" s="42" t="str">
        <f t="shared" si="78"/>
        <v/>
      </c>
      <c r="D721" s="41">
        <v>200.0</v>
      </c>
      <c r="E721" s="43">
        <v>450.0</v>
      </c>
      <c r="F721" s="43">
        <f t="shared" si="79"/>
        <v>90000</v>
      </c>
      <c r="G721" s="31"/>
      <c r="H721" s="31"/>
      <c r="I721" s="31"/>
      <c r="J721" s="31"/>
      <c r="K721" s="31"/>
      <c r="L721" s="31"/>
      <c r="M721" s="31"/>
      <c r="N721" s="31"/>
      <c r="O721" s="31"/>
      <c r="P721" s="31"/>
      <c r="Q721" s="31"/>
      <c r="R721" s="31"/>
      <c r="S721" s="31"/>
      <c r="T721" s="31"/>
      <c r="U721" s="31"/>
      <c r="V721" s="31"/>
      <c r="W721" s="31"/>
      <c r="X721" s="31"/>
      <c r="Y721" s="31"/>
      <c r="Z721" s="31"/>
    </row>
    <row r="722" ht="13.5" customHeight="1">
      <c r="A722" s="41" t="s">
        <v>281</v>
      </c>
      <c r="B722" s="41" t="str">
        <f t="array" ref="B722">IFERROR(INDEX(#REF!,MATCH(INDIRECT(ADDRESS(ROW(),COLUMN()-1,4)),#REF!,0)),IF(INDIRECT(ADDRESS(ROW(),COLUMN()-1,4))="47131502","Pañitos o toallas para limpiar",""))</f>
        <v>Pañitos o toallas para limpiar</v>
      </c>
      <c r="C722" s="42" t="str">
        <f t="shared" si="78"/>
        <v/>
      </c>
      <c r="D722" s="41">
        <v>100.0</v>
      </c>
      <c r="E722" s="43">
        <v>94.0</v>
      </c>
      <c r="F722" s="43">
        <f t="shared" si="79"/>
        <v>9400</v>
      </c>
      <c r="G722" s="31"/>
      <c r="H722" s="31"/>
      <c r="I722" s="31"/>
      <c r="J722" s="31"/>
      <c r="K722" s="31"/>
      <c r="L722" s="31"/>
      <c r="M722" s="31"/>
      <c r="N722" s="31"/>
      <c r="O722" s="31"/>
      <c r="P722" s="31"/>
      <c r="Q722" s="31"/>
      <c r="R722" s="31"/>
      <c r="S722" s="31"/>
      <c r="T722" s="31"/>
      <c r="U722" s="31"/>
      <c r="V722" s="31"/>
      <c r="W722" s="31"/>
      <c r="X722" s="31"/>
      <c r="Y722" s="31"/>
      <c r="Z722" s="31"/>
    </row>
    <row r="723" ht="13.5" customHeight="1">
      <c r="A723" s="41" t="s">
        <v>282</v>
      </c>
      <c r="B723" s="41" t="str">
        <f t="array" ref="B723">IFERROR(INDEX(#REF!,MATCH(INDIRECT(ADDRESS(ROW(),COLUMN()-1,4)),#REF!,0)),IF(INDIRECT(ADDRESS(ROW(),COLUMN()-1,4))="47131601","Cepillos o recogedores para polvo",""))</f>
        <v>Cepillos o recogedores para polvo</v>
      </c>
      <c r="C723" s="42" t="str">
        <f t="shared" si="78"/>
        <v/>
      </c>
      <c r="D723" s="41">
        <v>10.0</v>
      </c>
      <c r="E723" s="43">
        <v>385.0</v>
      </c>
      <c r="F723" s="43">
        <f t="shared" si="79"/>
        <v>3850</v>
      </c>
      <c r="G723" s="31"/>
      <c r="H723" s="31"/>
      <c r="I723" s="31"/>
      <c r="J723" s="31"/>
      <c r="K723" s="31"/>
      <c r="L723" s="31"/>
      <c r="M723" s="31"/>
      <c r="N723" s="31"/>
      <c r="O723" s="31"/>
      <c r="P723" s="31"/>
      <c r="Q723" s="31"/>
      <c r="R723" s="31"/>
      <c r="S723" s="31"/>
      <c r="T723" s="31"/>
      <c r="U723" s="31"/>
      <c r="V723" s="31"/>
      <c r="W723" s="31"/>
      <c r="X723" s="31"/>
      <c r="Y723" s="31"/>
      <c r="Z723" s="31"/>
    </row>
    <row r="724" ht="13.5" customHeight="1">
      <c r="A724" s="41" t="s">
        <v>281</v>
      </c>
      <c r="B724" s="41" t="str">
        <f t="array" ref="B724">IFERROR(INDEX(#REF!,MATCH(INDIRECT(ADDRESS(ROW(),COLUMN()-1,4)),#REF!,0)),IF(INDIRECT(ADDRESS(ROW(),COLUMN()-1,4))="47131502","Pañitos o toallas para limpiar",""))</f>
        <v>Pañitos o toallas para limpiar</v>
      </c>
      <c r="C724" s="42" t="str">
        <f t="shared" si="78"/>
        <v/>
      </c>
      <c r="D724" s="41">
        <v>200.0</v>
      </c>
      <c r="E724" s="43">
        <v>309.0</v>
      </c>
      <c r="F724" s="43">
        <f t="shared" si="79"/>
        <v>61800</v>
      </c>
      <c r="G724" s="31"/>
      <c r="H724" s="31"/>
      <c r="I724" s="31"/>
      <c r="J724" s="31"/>
      <c r="K724" s="31"/>
      <c r="L724" s="31"/>
      <c r="M724" s="31"/>
      <c r="N724" s="31"/>
      <c r="O724" s="31"/>
      <c r="P724" s="31"/>
      <c r="Q724" s="31"/>
      <c r="R724" s="31"/>
      <c r="S724" s="31"/>
      <c r="T724" s="31"/>
      <c r="U724" s="31"/>
      <c r="V724" s="31"/>
      <c r="W724" s="31"/>
      <c r="X724" s="31"/>
      <c r="Y724" s="31"/>
      <c r="Z724" s="31"/>
    </row>
    <row r="725" ht="13.5" customHeight="1">
      <c r="A725" s="41" t="s">
        <v>283</v>
      </c>
      <c r="B725" s="41" t="str">
        <f t="shared" ref="B725:B727" si="81">IFERROR(INDEX(#REF!,MATCH(INDIRECT(ADDRESS(ROW(),COLUMN()-1,4)),#REF!,0)),IF(INDIRECT(ADDRESS(ROW(),COLUMN()-1,4))="47121701","Bolsas de basura",""))</f>
        <v>Bolsas de basura</v>
      </c>
      <c r="C725" s="42" t="str">
        <f t="shared" si="78"/>
        <v/>
      </c>
      <c r="D725" s="41">
        <v>200.0</v>
      </c>
      <c r="E725" s="43">
        <v>525.0</v>
      </c>
      <c r="F725" s="43">
        <f t="shared" si="79"/>
        <v>105000</v>
      </c>
      <c r="G725" s="31"/>
      <c r="H725" s="31"/>
      <c r="I725" s="31"/>
      <c r="J725" s="31"/>
      <c r="K725" s="31"/>
      <c r="L725" s="31"/>
      <c r="M725" s="31"/>
      <c r="N725" s="31"/>
      <c r="O725" s="31"/>
      <c r="P725" s="31"/>
      <c r="Q725" s="31"/>
      <c r="R725" s="31"/>
      <c r="S725" s="31"/>
      <c r="T725" s="31"/>
      <c r="U725" s="31"/>
      <c r="V725" s="31"/>
      <c r="W725" s="31"/>
      <c r="X725" s="31"/>
      <c r="Y725" s="31"/>
      <c r="Z725" s="31"/>
    </row>
    <row r="726" ht="13.5" customHeight="1">
      <c r="A726" s="41" t="s">
        <v>283</v>
      </c>
      <c r="B726" s="41" t="str">
        <f t="shared" si="81"/>
        <v>Bolsas de basura</v>
      </c>
      <c r="C726" s="42" t="str">
        <f t="shared" si="78"/>
        <v/>
      </c>
      <c r="D726" s="41">
        <v>200.0</v>
      </c>
      <c r="E726" s="43">
        <v>230.0</v>
      </c>
      <c r="F726" s="43">
        <f t="shared" si="79"/>
        <v>46000</v>
      </c>
      <c r="G726" s="31"/>
      <c r="H726" s="31"/>
      <c r="I726" s="31"/>
      <c r="J726" s="31"/>
      <c r="K726" s="31"/>
      <c r="L726" s="31"/>
      <c r="M726" s="31"/>
      <c r="N726" s="31"/>
      <c r="O726" s="31"/>
      <c r="P726" s="31"/>
      <c r="Q726" s="31"/>
      <c r="R726" s="31"/>
      <c r="S726" s="31"/>
      <c r="T726" s="31"/>
      <c r="U726" s="31"/>
      <c r="V726" s="31"/>
      <c r="W726" s="31"/>
      <c r="X726" s="31"/>
      <c r="Y726" s="31"/>
      <c r="Z726" s="31"/>
    </row>
    <row r="727" ht="13.5" customHeight="1">
      <c r="A727" s="41" t="s">
        <v>283</v>
      </c>
      <c r="B727" s="41" t="str">
        <f t="shared" si="81"/>
        <v>Bolsas de basura</v>
      </c>
      <c r="C727" s="42" t="str">
        <f t="shared" si="78"/>
        <v/>
      </c>
      <c r="D727" s="41">
        <v>300.0</v>
      </c>
      <c r="E727" s="43">
        <v>105.0</v>
      </c>
      <c r="F727" s="43">
        <f t="shared" si="79"/>
        <v>31500</v>
      </c>
      <c r="G727" s="31"/>
      <c r="H727" s="31"/>
      <c r="I727" s="31"/>
      <c r="J727" s="31"/>
      <c r="K727" s="31"/>
      <c r="L727" s="31"/>
      <c r="M727" s="31"/>
      <c r="N727" s="31"/>
      <c r="O727" s="31"/>
      <c r="P727" s="31"/>
      <c r="Q727" s="31"/>
      <c r="R727" s="31"/>
      <c r="S727" s="31"/>
      <c r="T727" s="31"/>
      <c r="U727" s="31"/>
      <c r="V727" s="31"/>
      <c r="W727" s="31"/>
      <c r="X727" s="31"/>
      <c r="Y727" s="31"/>
      <c r="Z727" s="31"/>
    </row>
    <row r="728" ht="13.5" customHeight="1">
      <c r="A728" s="41" t="s">
        <v>277</v>
      </c>
      <c r="B728" s="41" t="str">
        <f t="array" ref="B728">IFERROR(INDEX(#REF!,MATCH(INDIRECT(ADDRESS(ROW(),COLUMN()-1,4)),#REF!,0)),IF(INDIRECT(ADDRESS(ROW(),COLUMN()-1,4))="47131803","Desinfectantes para uso doméstico",""))</f>
        <v>Desinfectantes para uso doméstico</v>
      </c>
      <c r="C728" s="42" t="str">
        <f t="shared" si="78"/>
        <v/>
      </c>
      <c r="D728" s="41">
        <v>1500.0</v>
      </c>
      <c r="E728" s="43">
        <v>100.0</v>
      </c>
      <c r="F728" s="43">
        <f t="shared" si="79"/>
        <v>150000</v>
      </c>
      <c r="G728" s="31"/>
      <c r="H728" s="31"/>
      <c r="I728" s="31"/>
      <c r="J728" s="31"/>
      <c r="K728" s="31"/>
      <c r="L728" s="31"/>
      <c r="M728" s="31"/>
      <c r="N728" s="31"/>
      <c r="O728" s="31"/>
      <c r="P728" s="31"/>
      <c r="Q728" s="31"/>
      <c r="R728" s="31"/>
      <c r="S728" s="31"/>
      <c r="T728" s="31"/>
      <c r="U728" s="31"/>
      <c r="V728" s="31"/>
      <c r="W728" s="31"/>
      <c r="X728" s="31"/>
      <c r="Y728" s="31"/>
      <c r="Z728" s="31"/>
    </row>
    <row r="729" ht="13.5" customHeight="1">
      <c r="A729" s="31"/>
      <c r="B729" s="31"/>
      <c r="C729" s="31"/>
      <c r="D729" s="31"/>
      <c r="E729" s="44" t="s">
        <v>63</v>
      </c>
      <c r="F729" s="45">
        <f>SUM(PACC!$F$708:$F$728)</f>
        <v>1200000</v>
      </c>
      <c r="G729" s="31"/>
      <c r="H729" s="31" t="str">
        <f>C701</f>
        <v>Bienes</v>
      </c>
      <c r="I729" s="31" t="str">
        <f>E701</f>
        <v>No</v>
      </c>
      <c r="J729" s="31" t="str">
        <f>D701</f>
        <v>Comparacion de Precios</v>
      </c>
      <c r="K729" s="31"/>
      <c r="L729" s="31"/>
      <c r="M729" s="31"/>
      <c r="N729" s="31"/>
      <c r="O729" s="31"/>
      <c r="P729" s="31"/>
      <c r="Q729" s="31"/>
      <c r="R729" s="31"/>
      <c r="S729" s="31"/>
      <c r="T729" s="31"/>
      <c r="U729" s="31"/>
      <c r="V729" s="31"/>
      <c r="W729" s="31"/>
      <c r="X729" s="31"/>
      <c r="Y729" s="31"/>
      <c r="Z729" s="31"/>
    </row>
    <row r="730" ht="13.5" customHeight="1">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row>
    <row r="731" ht="33.75" customHeight="1">
      <c r="A731" s="32" t="s">
        <v>19</v>
      </c>
      <c r="B731" s="32" t="s">
        <v>20</v>
      </c>
      <c r="C731" s="32" t="s">
        <v>21</v>
      </c>
      <c r="D731" s="32" t="s">
        <v>22</v>
      </c>
      <c r="E731" s="32" t="s">
        <v>23</v>
      </c>
      <c r="F731" s="32" t="s">
        <v>24</v>
      </c>
      <c r="G731" s="31"/>
      <c r="H731" s="31"/>
      <c r="I731" s="31"/>
      <c r="J731" s="31"/>
      <c r="K731" s="31"/>
      <c r="L731" s="31"/>
      <c r="M731" s="31"/>
      <c r="N731" s="31"/>
      <c r="O731" s="31"/>
      <c r="P731" s="31"/>
      <c r="Q731" s="31"/>
      <c r="R731" s="31"/>
      <c r="S731" s="31"/>
      <c r="T731" s="31"/>
      <c r="U731" s="31"/>
      <c r="V731" s="31"/>
      <c r="W731" s="31"/>
      <c r="X731" s="31"/>
      <c r="Y731" s="31"/>
      <c r="Z731" s="31"/>
    </row>
    <row r="732" ht="13.5" customHeight="1">
      <c r="A732" s="33" t="s">
        <v>284</v>
      </c>
      <c r="B732" s="33" t="s">
        <v>285</v>
      </c>
      <c r="C732" s="33" t="s">
        <v>27</v>
      </c>
      <c r="D732" s="33" t="s">
        <v>103</v>
      </c>
      <c r="E732" s="33" t="s">
        <v>67</v>
      </c>
      <c r="F732" s="33"/>
      <c r="G732" s="31"/>
      <c r="H732" s="31"/>
      <c r="I732" s="31"/>
      <c r="J732" s="31"/>
      <c r="K732" s="31"/>
      <c r="L732" s="31"/>
      <c r="M732" s="31"/>
      <c r="N732" s="31"/>
      <c r="O732" s="31"/>
      <c r="P732" s="31"/>
      <c r="Q732" s="31"/>
      <c r="R732" s="31"/>
      <c r="S732" s="31"/>
      <c r="T732" s="31"/>
      <c r="U732" s="31"/>
      <c r="V732" s="31"/>
      <c r="W732" s="31"/>
      <c r="X732" s="31"/>
      <c r="Y732" s="31"/>
      <c r="Z732" s="31"/>
    </row>
    <row r="733" ht="13.5" customHeight="1">
      <c r="A733" s="34" t="s">
        <v>30</v>
      </c>
      <c r="B733" s="35" t="s">
        <v>31</v>
      </c>
      <c r="C733" s="36">
        <v>45040.0</v>
      </c>
      <c r="D733" s="34" t="s">
        <v>32</v>
      </c>
      <c r="E733" s="35" t="s">
        <v>33</v>
      </c>
      <c r="F733" s="37"/>
      <c r="G733" s="31"/>
      <c r="H733" s="31"/>
      <c r="I733" s="31"/>
      <c r="J733" s="31"/>
      <c r="K733" s="31"/>
      <c r="L733" s="31"/>
      <c r="M733" s="31"/>
      <c r="N733" s="31"/>
      <c r="O733" s="31"/>
      <c r="P733" s="31"/>
      <c r="Q733" s="31"/>
      <c r="R733" s="31"/>
      <c r="S733" s="31"/>
      <c r="T733" s="31"/>
      <c r="U733" s="31"/>
      <c r="V733" s="31"/>
      <c r="W733" s="31"/>
      <c r="X733" s="31"/>
      <c r="Y733" s="31"/>
      <c r="Z733" s="31"/>
    </row>
    <row r="734" ht="13.5" customHeight="1">
      <c r="A734" s="38"/>
      <c r="B734" s="35" t="s">
        <v>34</v>
      </c>
      <c r="C734" s="33">
        <f>IF(C733="","",IF(AND(MONTH(C733)&gt;=1,MONTH(C733)&lt;=3),1,IF(AND(MONTH(C733)&gt;=4,MONTH(C733)&lt;=6),2,IF(AND(MONTH(C733)&gt;=7,MONTH(C733)&lt;=9),3,4))))</f>
        <v>2</v>
      </c>
      <c r="D734" s="38"/>
      <c r="E734" s="35" t="s">
        <v>35</v>
      </c>
      <c r="F734" s="37"/>
      <c r="G734" s="31"/>
      <c r="H734" s="31"/>
      <c r="I734" s="31"/>
      <c r="J734" s="31"/>
      <c r="K734" s="31"/>
      <c r="L734" s="31"/>
      <c r="M734" s="31"/>
      <c r="N734" s="31"/>
      <c r="O734" s="31"/>
      <c r="P734" s="31"/>
      <c r="Q734" s="31"/>
      <c r="R734" s="31"/>
      <c r="S734" s="31"/>
      <c r="T734" s="31"/>
      <c r="U734" s="31"/>
      <c r="V734" s="31"/>
      <c r="W734" s="31"/>
      <c r="X734" s="31"/>
      <c r="Y734" s="31"/>
      <c r="Z734" s="31"/>
    </row>
    <row r="735" ht="13.5" customHeight="1">
      <c r="A735" s="38"/>
      <c r="B735" s="35" t="s">
        <v>36</v>
      </c>
      <c r="C735" s="36">
        <v>45064.0</v>
      </c>
      <c r="D735" s="38"/>
      <c r="E735" s="35" t="s">
        <v>37</v>
      </c>
      <c r="F735" s="37"/>
      <c r="G735" s="31"/>
      <c r="H735" s="31"/>
      <c r="I735" s="31"/>
      <c r="J735" s="31"/>
      <c r="K735" s="31"/>
      <c r="L735" s="31"/>
      <c r="M735" s="31"/>
      <c r="N735" s="31"/>
      <c r="O735" s="31"/>
      <c r="P735" s="31"/>
      <c r="Q735" s="31"/>
      <c r="R735" s="31"/>
      <c r="S735" s="31"/>
      <c r="T735" s="31"/>
      <c r="U735" s="31"/>
      <c r="V735" s="31"/>
      <c r="W735" s="31"/>
      <c r="X735" s="31"/>
      <c r="Y735" s="31"/>
      <c r="Z735" s="31"/>
    </row>
    <row r="736" ht="13.5" customHeight="1">
      <c r="A736" s="39"/>
      <c r="B736" s="35" t="s">
        <v>34</v>
      </c>
      <c r="C736" s="33">
        <f>IF(C735="","",IF(AND(MONTH(C735)&gt;=1,MONTH(C735)&lt;=3),1,IF(AND(MONTH(C735)&gt;=4,MONTH(C735)&lt;=6),2,IF(AND(MONTH(C735)&gt;=7,MONTH(C735)&lt;=9),3,4))))</f>
        <v>2</v>
      </c>
      <c r="D736" s="39"/>
      <c r="E736" s="35" t="s">
        <v>38</v>
      </c>
      <c r="F736" s="37"/>
      <c r="G736" s="31"/>
      <c r="H736" s="31"/>
      <c r="I736" s="31"/>
      <c r="J736" s="31"/>
      <c r="K736" s="31"/>
      <c r="L736" s="31"/>
      <c r="M736" s="31"/>
      <c r="N736" s="31"/>
      <c r="O736" s="31"/>
      <c r="P736" s="31"/>
      <c r="Q736" s="31"/>
      <c r="R736" s="31"/>
      <c r="S736" s="31"/>
      <c r="T736" s="31"/>
      <c r="U736" s="31"/>
      <c r="V736" s="31"/>
      <c r="W736" s="31"/>
      <c r="X736" s="31"/>
      <c r="Y736" s="31"/>
      <c r="Z736" s="31"/>
    </row>
    <row r="737" ht="13.5" customHeight="1">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row>
    <row r="738" ht="13.5" customHeight="1">
      <c r="A738" s="40" t="s">
        <v>39</v>
      </c>
      <c r="B738" s="40" t="s">
        <v>40</v>
      </c>
      <c r="C738" s="40" t="s">
        <v>41</v>
      </c>
      <c r="D738" s="40" t="s">
        <v>42</v>
      </c>
      <c r="E738" s="40" t="s">
        <v>43</v>
      </c>
      <c r="F738" s="40" t="s">
        <v>44</v>
      </c>
      <c r="G738" s="31"/>
      <c r="H738" s="31"/>
      <c r="I738" s="31"/>
      <c r="J738" s="31"/>
      <c r="K738" s="31"/>
      <c r="L738" s="31"/>
      <c r="M738" s="31"/>
      <c r="N738" s="31"/>
      <c r="O738" s="31"/>
      <c r="P738" s="31"/>
      <c r="Q738" s="31"/>
      <c r="R738" s="31"/>
      <c r="S738" s="31"/>
      <c r="T738" s="31"/>
      <c r="U738" s="31"/>
      <c r="V738" s="31"/>
      <c r="W738" s="31"/>
      <c r="X738" s="31"/>
      <c r="Y738" s="31"/>
      <c r="Z738" s="31"/>
    </row>
    <row r="739" ht="13.5" customHeight="1">
      <c r="A739" s="41" t="s">
        <v>286</v>
      </c>
      <c r="B739" s="41" t="str">
        <f t="array" ref="B739">IFERROR(INDEX(#REF!,MATCH(INDIRECT(ADDRESS(ROW(),COLUMN()-1,4)),#REF!,0)),IF(INDIRECT(ADDRESS(ROW(),COLUMN()-1,4))="43211507","Computadores de escritorio",""))</f>
        <v>Computadores de escritorio</v>
      </c>
      <c r="C739" s="42" t="str">
        <f t="shared" ref="C739:C740" si="82">IFERROR(VLOOKUP("UD",'Informacion '!P:Q,2,FALSE),"")</f>
        <v/>
      </c>
      <c r="D739" s="41">
        <v>12.0</v>
      </c>
      <c r="E739" s="43">
        <v>80000.0</v>
      </c>
      <c r="F739" s="43">
        <f t="shared" ref="F739:F740" si="83">INDIRECT(ADDRESS(ROW(),COLUMN()-2,4))*INDIRECT(ADDRESS(ROW(),COLUMN()-1,4))</f>
        <v>960000</v>
      </c>
      <c r="G739" s="31"/>
      <c r="H739" s="31"/>
      <c r="I739" s="31"/>
      <c r="J739" s="31"/>
      <c r="K739" s="31"/>
      <c r="L739" s="31"/>
      <c r="M739" s="31"/>
      <c r="N739" s="31"/>
      <c r="O739" s="31"/>
      <c r="P739" s="31"/>
      <c r="Q739" s="31"/>
      <c r="R739" s="31"/>
      <c r="S739" s="31"/>
      <c r="T739" s="31"/>
      <c r="U739" s="31"/>
      <c r="V739" s="31"/>
      <c r="W739" s="31"/>
      <c r="X739" s="31"/>
      <c r="Y739" s="31"/>
      <c r="Z739" s="31"/>
    </row>
    <row r="740" ht="13.5" customHeight="1">
      <c r="A740" s="41" t="s">
        <v>287</v>
      </c>
      <c r="B740" s="41" t="str">
        <f t="array" ref="B740">IFERROR(INDEX(#REF!,MATCH(INDIRECT(ADDRESS(ROW(),COLUMN()-1,4)),#REF!,0)),IF(INDIRECT(ADDRESS(ROW(),COLUMN()-1,4))="43211508","Computadores personales",""))</f>
        <v>Computadores personales</v>
      </c>
      <c r="C740" s="42" t="str">
        <f t="shared" si="82"/>
        <v/>
      </c>
      <c r="D740" s="41">
        <v>16.0</v>
      </c>
      <c r="E740" s="43">
        <v>65000.0</v>
      </c>
      <c r="F740" s="43">
        <f t="shared" si="83"/>
        <v>1040000</v>
      </c>
      <c r="G740" s="31"/>
      <c r="H740" s="31"/>
      <c r="I740" s="31"/>
      <c r="J740" s="31"/>
      <c r="K740" s="31"/>
      <c r="L740" s="31"/>
      <c r="M740" s="31"/>
      <c r="N740" s="31"/>
      <c r="O740" s="31"/>
      <c r="P740" s="31"/>
      <c r="Q740" s="31"/>
      <c r="R740" s="31"/>
      <c r="S740" s="31"/>
      <c r="T740" s="31"/>
      <c r="U740" s="31"/>
      <c r="V740" s="31"/>
      <c r="W740" s="31"/>
      <c r="X740" s="31"/>
      <c r="Y740" s="31"/>
      <c r="Z740" s="31"/>
    </row>
    <row r="741" ht="13.5" customHeight="1">
      <c r="A741" s="31"/>
      <c r="B741" s="31"/>
      <c r="C741" s="31"/>
      <c r="D741" s="31"/>
      <c r="E741" s="44" t="s">
        <v>63</v>
      </c>
      <c r="F741" s="45">
        <f>SUM(PACC!$F$739:$F$740)</f>
        <v>2000000</v>
      </c>
      <c r="G741" s="31"/>
      <c r="H741" s="31" t="str">
        <f>C732</f>
        <v>Bienes</v>
      </c>
      <c r="I741" s="31" t="str">
        <f>E732</f>
        <v>No</v>
      </c>
      <c r="J741" s="31" t="str">
        <f>D732</f>
        <v>Comparacion de Precios</v>
      </c>
      <c r="K741" s="31"/>
      <c r="L741" s="31"/>
      <c r="M741" s="31"/>
      <c r="N741" s="31"/>
      <c r="O741" s="31"/>
      <c r="P741" s="31"/>
      <c r="Q741" s="31"/>
      <c r="R741" s="31"/>
      <c r="S741" s="31"/>
      <c r="T741" s="31"/>
      <c r="U741" s="31"/>
      <c r="V741" s="31"/>
      <c r="W741" s="31"/>
      <c r="X741" s="31"/>
      <c r="Y741" s="31"/>
      <c r="Z741" s="31"/>
    </row>
    <row r="742" ht="13.5" customHeight="1">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row>
    <row r="743" ht="33.75" customHeight="1">
      <c r="A743" s="32" t="s">
        <v>19</v>
      </c>
      <c r="B743" s="32" t="s">
        <v>20</v>
      </c>
      <c r="C743" s="32" t="s">
        <v>21</v>
      </c>
      <c r="D743" s="32" t="s">
        <v>22</v>
      </c>
      <c r="E743" s="32" t="s">
        <v>23</v>
      </c>
      <c r="F743" s="32" t="s">
        <v>24</v>
      </c>
      <c r="G743" s="31"/>
      <c r="H743" s="31"/>
      <c r="I743" s="31"/>
      <c r="J743" s="31"/>
      <c r="K743" s="31"/>
      <c r="L743" s="31"/>
      <c r="M743" s="31"/>
      <c r="N743" s="31"/>
      <c r="O743" s="31"/>
      <c r="P743" s="31"/>
      <c r="Q743" s="31"/>
      <c r="R743" s="31"/>
      <c r="S743" s="31"/>
      <c r="T743" s="31"/>
      <c r="U743" s="31"/>
      <c r="V743" s="31"/>
      <c r="W743" s="31"/>
      <c r="X743" s="31"/>
      <c r="Y743" s="31"/>
      <c r="Z743" s="31"/>
    </row>
    <row r="744" ht="13.5" customHeight="1">
      <c r="A744" s="33" t="s">
        <v>288</v>
      </c>
      <c r="B744" s="33" t="s">
        <v>289</v>
      </c>
      <c r="C744" s="33" t="s">
        <v>27</v>
      </c>
      <c r="D744" s="33" t="s">
        <v>103</v>
      </c>
      <c r="E744" s="33" t="s">
        <v>67</v>
      </c>
      <c r="F744" s="33"/>
      <c r="G744" s="31"/>
      <c r="H744" s="31"/>
      <c r="I744" s="31"/>
      <c r="J744" s="31"/>
      <c r="K744" s="31"/>
      <c r="L744" s="31"/>
      <c r="M744" s="31"/>
      <c r="N744" s="31"/>
      <c r="O744" s="31"/>
      <c r="P744" s="31"/>
      <c r="Q744" s="31"/>
      <c r="R744" s="31"/>
      <c r="S744" s="31"/>
      <c r="T744" s="31"/>
      <c r="U744" s="31"/>
      <c r="V744" s="31"/>
      <c r="W744" s="31"/>
      <c r="X744" s="31"/>
      <c r="Y744" s="31"/>
      <c r="Z744" s="31"/>
    </row>
    <row r="745" ht="13.5" customHeight="1">
      <c r="A745" s="34" t="s">
        <v>30</v>
      </c>
      <c r="B745" s="35" t="s">
        <v>31</v>
      </c>
      <c r="C745" s="36">
        <v>45054.0</v>
      </c>
      <c r="D745" s="34" t="s">
        <v>32</v>
      </c>
      <c r="E745" s="35" t="s">
        <v>33</v>
      </c>
      <c r="F745" s="37"/>
      <c r="G745" s="31"/>
      <c r="H745" s="31"/>
      <c r="I745" s="31"/>
      <c r="J745" s="31"/>
      <c r="K745" s="31"/>
      <c r="L745" s="31"/>
      <c r="M745" s="31"/>
      <c r="N745" s="31"/>
      <c r="O745" s="31"/>
      <c r="P745" s="31"/>
      <c r="Q745" s="31"/>
      <c r="R745" s="31"/>
      <c r="S745" s="31"/>
      <c r="T745" s="31"/>
      <c r="U745" s="31"/>
      <c r="V745" s="31"/>
      <c r="W745" s="31"/>
      <c r="X745" s="31"/>
      <c r="Y745" s="31"/>
      <c r="Z745" s="31"/>
    </row>
    <row r="746" ht="13.5" customHeight="1">
      <c r="A746" s="38"/>
      <c r="B746" s="35" t="s">
        <v>34</v>
      </c>
      <c r="C746" s="33">
        <f>IF(C745="","",IF(AND(MONTH(C745)&gt;=1,MONTH(C745)&lt;=3),1,IF(AND(MONTH(C745)&gt;=4,MONTH(C745)&lt;=6),2,IF(AND(MONTH(C745)&gt;=7,MONTH(C745)&lt;=9),3,4))))</f>
        <v>2</v>
      </c>
      <c r="D746" s="38"/>
      <c r="E746" s="35" t="s">
        <v>35</v>
      </c>
      <c r="F746" s="37"/>
      <c r="G746" s="31"/>
      <c r="H746" s="31"/>
      <c r="I746" s="31"/>
      <c r="J746" s="31"/>
      <c r="K746" s="31"/>
      <c r="L746" s="31"/>
      <c r="M746" s="31"/>
      <c r="N746" s="31"/>
      <c r="O746" s="31"/>
      <c r="P746" s="31"/>
      <c r="Q746" s="31"/>
      <c r="R746" s="31"/>
      <c r="S746" s="31"/>
      <c r="T746" s="31"/>
      <c r="U746" s="31"/>
      <c r="V746" s="31"/>
      <c r="W746" s="31"/>
      <c r="X746" s="31"/>
      <c r="Y746" s="31"/>
      <c r="Z746" s="31"/>
    </row>
    <row r="747" ht="13.5" customHeight="1">
      <c r="A747" s="38"/>
      <c r="B747" s="35" t="s">
        <v>36</v>
      </c>
      <c r="C747" s="36">
        <v>45076.0</v>
      </c>
      <c r="D747" s="38"/>
      <c r="E747" s="35" t="s">
        <v>37</v>
      </c>
      <c r="F747" s="37"/>
      <c r="G747" s="31"/>
      <c r="H747" s="31"/>
      <c r="I747" s="31"/>
      <c r="J747" s="31"/>
      <c r="K747" s="31"/>
      <c r="L747" s="31"/>
      <c r="M747" s="31"/>
      <c r="N747" s="31"/>
      <c r="O747" s="31"/>
      <c r="P747" s="31"/>
      <c r="Q747" s="31"/>
      <c r="R747" s="31"/>
      <c r="S747" s="31"/>
      <c r="T747" s="31"/>
      <c r="U747" s="31"/>
      <c r="V747" s="31"/>
      <c r="W747" s="31"/>
      <c r="X747" s="31"/>
      <c r="Y747" s="31"/>
      <c r="Z747" s="31"/>
    </row>
    <row r="748" ht="13.5" customHeight="1">
      <c r="A748" s="39"/>
      <c r="B748" s="35" t="s">
        <v>34</v>
      </c>
      <c r="C748" s="33">
        <f>IF(C747="","",IF(AND(MONTH(C747)&gt;=1,MONTH(C747)&lt;=3),1,IF(AND(MONTH(C747)&gt;=4,MONTH(C747)&lt;=6),2,IF(AND(MONTH(C747)&gt;=7,MONTH(C747)&lt;=9),3,4))))</f>
        <v>2</v>
      </c>
      <c r="D748" s="39"/>
      <c r="E748" s="35" t="s">
        <v>38</v>
      </c>
      <c r="F748" s="37"/>
      <c r="G748" s="31"/>
      <c r="H748" s="31"/>
      <c r="I748" s="31"/>
      <c r="J748" s="31"/>
      <c r="K748" s="31"/>
      <c r="L748" s="31"/>
      <c r="M748" s="31"/>
      <c r="N748" s="31"/>
      <c r="O748" s="31"/>
      <c r="P748" s="31"/>
      <c r="Q748" s="31"/>
      <c r="R748" s="31"/>
      <c r="S748" s="31"/>
      <c r="T748" s="31"/>
      <c r="U748" s="31"/>
      <c r="V748" s="31"/>
      <c r="W748" s="31"/>
      <c r="X748" s="31"/>
      <c r="Y748" s="31"/>
      <c r="Z748" s="31"/>
    </row>
    <row r="749" ht="13.5" customHeight="1">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row>
    <row r="750" ht="13.5" customHeight="1">
      <c r="A750" s="40" t="s">
        <v>39</v>
      </c>
      <c r="B750" s="40" t="s">
        <v>40</v>
      </c>
      <c r="C750" s="40" t="s">
        <v>41</v>
      </c>
      <c r="D750" s="40" t="s">
        <v>42</v>
      </c>
      <c r="E750" s="40" t="s">
        <v>43</v>
      </c>
      <c r="F750" s="40" t="s">
        <v>44</v>
      </c>
      <c r="G750" s="31"/>
      <c r="H750" s="31"/>
      <c r="I750" s="31"/>
      <c r="J750" s="31"/>
      <c r="K750" s="31"/>
      <c r="L750" s="31"/>
      <c r="M750" s="31"/>
      <c r="N750" s="31"/>
      <c r="O750" s="31"/>
      <c r="P750" s="31"/>
      <c r="Q750" s="31"/>
      <c r="R750" s="31"/>
      <c r="S750" s="31"/>
      <c r="T750" s="31"/>
      <c r="U750" s="31"/>
      <c r="V750" s="31"/>
      <c r="W750" s="31"/>
      <c r="X750" s="31"/>
      <c r="Y750" s="31"/>
      <c r="Z750" s="31"/>
    </row>
    <row r="751" ht="13.5" customHeight="1">
      <c r="A751" s="41" t="s">
        <v>290</v>
      </c>
      <c r="B751" s="41" t="str">
        <f t="array" ref="B751">IFERROR(INDEX(#REF!,MATCH(INDIRECT(ADDRESS(ROW(),COLUMN()-1,4)),#REF!,0)),IF(INDIRECT(ADDRESS(ROW(),COLUMN()-1,4))="56101703","Escritorios",""))</f>
        <v>Escritorios</v>
      </c>
      <c r="C751" s="42" t="str">
        <f t="shared" ref="C751:C754" si="84">IFERROR(VLOOKUP("UD",'Informacion '!P:Q,2,FALSE),"")</f>
        <v/>
      </c>
      <c r="D751" s="41">
        <v>30.0</v>
      </c>
      <c r="E751" s="43">
        <v>10000.0</v>
      </c>
      <c r="F751" s="43">
        <f t="shared" ref="F751:F754" si="85">INDIRECT(ADDRESS(ROW(),COLUMN()-2,4))*INDIRECT(ADDRESS(ROW(),COLUMN()-1,4))</f>
        <v>300000</v>
      </c>
      <c r="G751" s="31"/>
      <c r="H751" s="31"/>
      <c r="I751" s="31"/>
      <c r="J751" s="31"/>
      <c r="K751" s="31"/>
      <c r="L751" s="31"/>
      <c r="M751" s="31"/>
      <c r="N751" s="31"/>
      <c r="O751" s="31"/>
      <c r="P751" s="31"/>
      <c r="Q751" s="31"/>
      <c r="R751" s="31"/>
      <c r="S751" s="31"/>
      <c r="T751" s="31"/>
      <c r="U751" s="31"/>
      <c r="V751" s="31"/>
      <c r="W751" s="31"/>
      <c r="X751" s="31"/>
      <c r="Y751" s="31"/>
      <c r="Z751" s="31"/>
    </row>
    <row r="752" ht="13.5" customHeight="1">
      <c r="A752" s="41" t="s">
        <v>291</v>
      </c>
      <c r="B752" s="41" t="str">
        <f t="array" ref="B752">IFERROR(INDEX(#REF!,MATCH(INDIRECT(ADDRESS(ROW(),COLUMN()-1,4)),#REF!,0)),IF(INDIRECT(ADDRESS(ROW(),COLUMN()-1,4))="56112104","Sillas para ejecutivos",""))</f>
        <v>Sillas para ejecutivos</v>
      </c>
      <c r="C752" s="42" t="str">
        <f t="shared" si="84"/>
        <v/>
      </c>
      <c r="D752" s="41">
        <v>30.0</v>
      </c>
      <c r="E752" s="43">
        <v>8500.0</v>
      </c>
      <c r="F752" s="43">
        <f t="shared" si="85"/>
        <v>255000</v>
      </c>
      <c r="G752" s="31"/>
      <c r="H752" s="31"/>
      <c r="I752" s="31"/>
      <c r="J752" s="31"/>
      <c r="K752" s="31"/>
      <c r="L752" s="31"/>
      <c r="M752" s="31"/>
      <c r="N752" s="31"/>
      <c r="O752" s="31"/>
      <c r="P752" s="31"/>
      <c r="Q752" s="31"/>
      <c r="R752" s="31"/>
      <c r="S752" s="31"/>
      <c r="T752" s="31"/>
      <c r="U752" s="31"/>
      <c r="V752" s="31"/>
      <c r="W752" s="31"/>
      <c r="X752" s="31"/>
      <c r="Y752" s="31"/>
      <c r="Z752" s="31"/>
    </row>
    <row r="753" ht="13.5" customHeight="1">
      <c r="A753" s="41" t="s">
        <v>292</v>
      </c>
      <c r="B753" s="41" t="str">
        <f t="shared" ref="B753:B754" si="86">IFERROR(INDEX(#REF!,MATCH(INDIRECT(ADDRESS(ROW(),COLUMN()-1,4)),#REF!,0)),IF(INDIRECT(ADDRESS(ROW(),COLUMN()-1,4))="56111704","Organizadores no modular",""))</f>
        <v>Organizadores no modular</v>
      </c>
      <c r="C753" s="42" t="str">
        <f t="shared" si="84"/>
        <v/>
      </c>
      <c r="D753" s="41">
        <v>18.0</v>
      </c>
      <c r="E753" s="43">
        <v>20000.0</v>
      </c>
      <c r="F753" s="43">
        <f t="shared" si="85"/>
        <v>360000</v>
      </c>
      <c r="G753" s="31"/>
      <c r="H753" s="31"/>
      <c r="I753" s="31"/>
      <c r="J753" s="31"/>
      <c r="K753" s="31"/>
      <c r="L753" s="31"/>
      <c r="M753" s="31"/>
      <c r="N753" s="31"/>
      <c r="O753" s="31"/>
      <c r="P753" s="31"/>
      <c r="Q753" s="31"/>
      <c r="R753" s="31"/>
      <c r="S753" s="31"/>
      <c r="T753" s="31"/>
      <c r="U753" s="31"/>
      <c r="V753" s="31"/>
      <c r="W753" s="31"/>
      <c r="X753" s="31"/>
      <c r="Y753" s="31"/>
      <c r="Z753" s="31"/>
    </row>
    <row r="754" ht="13.5" customHeight="1">
      <c r="A754" s="41" t="s">
        <v>292</v>
      </c>
      <c r="B754" s="41" t="str">
        <f t="shared" si="86"/>
        <v>Organizadores no modular</v>
      </c>
      <c r="C754" s="42" t="str">
        <f t="shared" si="84"/>
        <v/>
      </c>
      <c r="D754" s="41">
        <v>30.0</v>
      </c>
      <c r="E754" s="43">
        <v>9500.0</v>
      </c>
      <c r="F754" s="43">
        <f t="shared" si="85"/>
        <v>285000</v>
      </c>
      <c r="G754" s="31"/>
      <c r="H754" s="31"/>
      <c r="I754" s="31"/>
      <c r="J754" s="31"/>
      <c r="K754" s="31"/>
      <c r="L754" s="31"/>
      <c r="M754" s="31"/>
      <c r="N754" s="31"/>
      <c r="O754" s="31"/>
      <c r="P754" s="31"/>
      <c r="Q754" s="31"/>
      <c r="R754" s="31"/>
      <c r="S754" s="31"/>
      <c r="T754" s="31"/>
      <c r="U754" s="31"/>
      <c r="V754" s="31"/>
      <c r="W754" s="31"/>
      <c r="X754" s="31"/>
      <c r="Y754" s="31"/>
      <c r="Z754" s="31"/>
    </row>
    <row r="755" ht="13.5" customHeight="1">
      <c r="A755" s="31"/>
      <c r="B755" s="31"/>
      <c r="C755" s="31"/>
      <c r="D755" s="31"/>
      <c r="E755" s="44" t="s">
        <v>63</v>
      </c>
      <c r="F755" s="45">
        <f>SUM(PACC!$F$751:$F$754)</f>
        <v>1200000</v>
      </c>
      <c r="G755" s="31"/>
      <c r="H755" s="31" t="str">
        <f>C744</f>
        <v>Bienes</v>
      </c>
      <c r="I755" s="31" t="str">
        <f>E744</f>
        <v>No</v>
      </c>
      <c r="J755" s="31" t="str">
        <f>D744</f>
        <v>Comparacion de Precios</v>
      </c>
      <c r="K755" s="31"/>
      <c r="L755" s="31"/>
      <c r="M755" s="31"/>
      <c r="N755" s="31"/>
      <c r="O755" s="31"/>
      <c r="P755" s="31"/>
      <c r="Q755" s="31"/>
      <c r="R755" s="31"/>
      <c r="S755" s="31"/>
      <c r="T755" s="31"/>
      <c r="U755" s="31"/>
      <c r="V755" s="31"/>
      <c r="W755" s="31"/>
      <c r="X755" s="31"/>
      <c r="Y755" s="31"/>
      <c r="Z755" s="31"/>
    </row>
    <row r="756" ht="13.5" customHeight="1">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row>
    <row r="757" ht="13.5" customHeight="1">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row>
    <row r="758" ht="13.5" customHeight="1">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row>
    <row r="759" ht="13.5" customHeight="1">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row>
    <row r="760" ht="13.5" customHeight="1">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row>
    <row r="761" ht="13.5" customHeight="1">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row>
    <row r="762" ht="13.5" customHeight="1">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row>
    <row r="763" ht="13.5" customHeight="1">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row>
    <row r="764" ht="13.5" customHeight="1">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row>
    <row r="765" ht="13.5" customHeight="1">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row>
    <row r="766" ht="13.5" customHeight="1">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row>
    <row r="767" ht="13.5" customHeight="1">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row>
    <row r="768" ht="13.5" customHeight="1">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row>
    <row r="769" ht="13.5" customHeight="1">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row>
    <row r="770" ht="13.5" customHeight="1">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row>
    <row r="771" ht="13.5" customHeight="1">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row>
    <row r="772" ht="13.5" customHeight="1">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row>
    <row r="773" ht="13.5" customHeight="1">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row>
    <row r="774" ht="13.5" customHeight="1">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row>
    <row r="775" ht="13.5" customHeight="1">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row>
    <row r="776" ht="13.5" customHeight="1">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row>
    <row r="777" ht="13.5" customHeight="1">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row>
    <row r="778" ht="13.5" customHeight="1">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row>
    <row r="779" ht="13.5" customHeight="1">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row>
    <row r="780" ht="13.5" customHeight="1">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row>
    <row r="781" ht="13.5" customHeight="1">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row>
    <row r="782" ht="13.5" customHeight="1">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row>
    <row r="783" ht="13.5" customHeight="1">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row>
    <row r="784" ht="13.5" customHeight="1">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row>
    <row r="785" ht="13.5" customHeight="1">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row>
    <row r="786" ht="13.5" customHeight="1">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row>
    <row r="787" ht="13.5" customHeight="1">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row>
    <row r="788" ht="13.5" customHeight="1">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row>
    <row r="789" ht="13.5" customHeight="1">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row>
    <row r="790" ht="13.5" customHeight="1">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row>
    <row r="791" ht="13.5" customHeight="1">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row>
    <row r="792" ht="13.5" customHeight="1">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row>
    <row r="793" ht="13.5" customHeight="1">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row>
    <row r="794" ht="13.5" customHeight="1">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row>
    <row r="795" ht="13.5" customHeight="1">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row>
    <row r="796" ht="13.5" customHeight="1">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row>
    <row r="797" ht="13.5" customHeight="1">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row>
    <row r="798" ht="13.5" customHeight="1">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row>
    <row r="799" ht="13.5" customHeight="1">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row>
    <row r="800" ht="13.5" customHeight="1">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row>
    <row r="801" ht="13.5" customHeight="1">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row>
    <row r="802" ht="13.5" customHeight="1">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row>
    <row r="803" ht="13.5" customHeight="1">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row>
    <row r="804" ht="13.5" customHeight="1">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row>
    <row r="805" ht="13.5" customHeight="1">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row>
    <row r="806" ht="13.5" customHeight="1">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row>
    <row r="807" ht="13.5" customHeight="1">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row>
    <row r="808" ht="13.5" customHeight="1">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row>
    <row r="809" ht="13.5" customHeight="1">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row>
    <row r="810" ht="13.5" customHeight="1">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row>
    <row r="811" ht="13.5" customHeight="1">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row>
    <row r="812" ht="13.5" customHeight="1">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row>
    <row r="813" ht="13.5" customHeight="1">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row>
    <row r="814" ht="13.5" customHeight="1">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row>
    <row r="815" ht="13.5" customHeight="1">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row>
    <row r="816" ht="13.5" customHeight="1">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row>
    <row r="817" ht="13.5" customHeight="1">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row>
    <row r="818" ht="13.5" customHeight="1">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row>
    <row r="819" ht="13.5" customHeight="1">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row>
    <row r="820" ht="13.5" customHeight="1">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row>
    <row r="821" ht="13.5" customHeight="1">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row>
    <row r="822" ht="13.5" customHeight="1">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row>
    <row r="823" ht="13.5" customHeight="1">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row>
    <row r="824" ht="13.5" customHeight="1">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row>
    <row r="825" ht="13.5" customHeight="1">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row>
    <row r="826" ht="13.5" customHeight="1">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row>
    <row r="827" ht="13.5" customHeight="1">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row>
    <row r="828" ht="13.5" customHeight="1">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row>
    <row r="829" ht="13.5" customHeight="1">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row>
    <row r="830" ht="13.5" customHeight="1">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row>
    <row r="831" ht="13.5" customHeight="1">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row>
    <row r="832" ht="13.5" customHeight="1">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row>
    <row r="833" ht="13.5" customHeight="1">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row>
    <row r="834" ht="13.5" customHeight="1">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row>
    <row r="835" ht="13.5" customHeight="1">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row>
    <row r="836" ht="13.5" customHeight="1">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row>
    <row r="837" ht="13.5" customHeight="1">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row>
    <row r="838" ht="13.5" customHeight="1">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row>
    <row r="839" ht="13.5" customHeight="1">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row>
    <row r="840" ht="13.5" customHeight="1">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row>
    <row r="841" ht="13.5" customHeight="1">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row>
    <row r="842" ht="13.5" customHeight="1">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row>
    <row r="843" ht="13.5" customHeight="1">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row>
    <row r="844" ht="13.5" customHeight="1">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row>
    <row r="845" ht="13.5" customHeight="1">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row>
    <row r="846" ht="13.5" customHeight="1">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row>
    <row r="847" ht="13.5" customHeight="1">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row>
    <row r="848" ht="13.5" customHeight="1">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row>
    <row r="849" ht="13.5" customHeight="1">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row>
    <row r="850" ht="13.5" customHeight="1">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row>
    <row r="851" ht="13.5" customHeight="1">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row>
    <row r="852" ht="13.5" customHeight="1">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row>
    <row r="853" ht="13.5" customHeight="1">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row>
    <row r="854" ht="13.5" customHeight="1">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row>
    <row r="855" ht="13.5" customHeight="1">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row>
    <row r="856" ht="13.5" customHeight="1">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row>
    <row r="857" ht="13.5" customHeight="1">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row>
    <row r="858" ht="13.5" customHeight="1">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row>
    <row r="859" ht="13.5" customHeight="1">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row>
    <row r="860" ht="13.5" customHeight="1">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row>
    <row r="861" ht="13.5" customHeight="1">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row>
    <row r="862" ht="13.5" customHeight="1">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row>
    <row r="863" ht="13.5" customHeight="1">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row>
    <row r="864" ht="13.5" customHeight="1">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row>
    <row r="865" ht="13.5" customHeight="1">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row>
    <row r="866" ht="13.5" customHeight="1">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row>
    <row r="867" ht="13.5" customHeight="1">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row>
    <row r="868" ht="13.5" customHeight="1">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row>
    <row r="869" ht="13.5" customHeight="1">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row>
    <row r="870" ht="13.5" customHeight="1">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row>
    <row r="871" ht="13.5" customHeight="1">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row>
    <row r="872" ht="13.5" customHeight="1">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row>
    <row r="873" ht="13.5" customHeight="1">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row>
    <row r="874" ht="13.5" customHeight="1">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row>
    <row r="875" ht="13.5" customHeight="1">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row>
    <row r="876" ht="13.5" customHeight="1">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row>
    <row r="877" ht="13.5" customHeight="1">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row>
    <row r="878" ht="13.5" customHeight="1">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row>
    <row r="879" ht="13.5" customHeight="1">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row>
    <row r="880" ht="13.5" customHeight="1">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row>
    <row r="881" ht="13.5" customHeight="1">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row>
    <row r="882" ht="13.5" customHeight="1">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row>
    <row r="883" ht="13.5" customHeight="1">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row>
    <row r="884" ht="13.5" customHeight="1">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row>
    <row r="885" ht="13.5" customHeight="1">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row>
    <row r="886" ht="13.5" customHeight="1">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row>
    <row r="887" ht="13.5" customHeight="1">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row>
    <row r="888" ht="13.5" customHeight="1">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row>
    <row r="889" ht="13.5" customHeight="1">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row>
    <row r="890" ht="13.5" customHeight="1">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row>
    <row r="891" ht="13.5" customHeight="1">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row>
    <row r="892" ht="13.5" customHeight="1">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row>
    <row r="893" ht="13.5" customHeight="1">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row>
    <row r="894" ht="13.5" customHeight="1">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row>
    <row r="895" ht="13.5" customHeight="1">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row>
    <row r="896" ht="13.5" customHeight="1">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row>
    <row r="897" ht="13.5" customHeight="1">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row>
    <row r="898" ht="13.5" customHeight="1">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row>
    <row r="899" ht="13.5" customHeight="1">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row>
    <row r="900" ht="13.5" customHeight="1">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row>
    <row r="901" ht="13.5" customHeight="1">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row>
    <row r="902" ht="13.5" customHeight="1">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row>
    <row r="903" ht="13.5" customHeight="1">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row>
    <row r="904" ht="13.5" customHeight="1">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row>
    <row r="905" ht="13.5" customHeight="1">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row>
    <row r="906" ht="13.5" customHeight="1">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row>
    <row r="907" ht="13.5" customHeight="1">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row>
    <row r="908" ht="13.5" customHeight="1">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row>
    <row r="909" ht="13.5" customHeight="1">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row>
    <row r="910" ht="13.5" customHeight="1">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row>
    <row r="911" ht="13.5" customHeight="1">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row>
    <row r="912" ht="13.5" customHeight="1">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row>
    <row r="913" ht="13.5" customHeight="1">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row>
    <row r="914" ht="13.5" customHeight="1">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row>
    <row r="915" ht="13.5" customHeight="1">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row>
    <row r="916" ht="13.5" customHeight="1">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row>
    <row r="917" ht="13.5" customHeight="1">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row>
    <row r="918" ht="13.5" customHeight="1">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row>
    <row r="919" ht="13.5" customHeight="1">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row>
    <row r="920" ht="13.5" customHeight="1">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row>
    <row r="921" ht="13.5" customHeight="1">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row>
    <row r="922" ht="13.5" customHeight="1">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row>
    <row r="923" ht="13.5" customHeight="1">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row>
    <row r="924" ht="13.5" customHeight="1">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row>
    <row r="925" ht="13.5" customHeight="1">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row>
    <row r="926" ht="13.5" customHeight="1">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row>
    <row r="927" ht="13.5" customHeight="1">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row>
    <row r="928" ht="13.5" customHeight="1">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row>
    <row r="929" ht="13.5" customHeight="1">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row>
    <row r="930" ht="13.5" customHeight="1">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row>
    <row r="931" ht="13.5" customHeight="1">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row>
    <row r="932" ht="13.5" customHeight="1">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row>
    <row r="933" ht="13.5" customHeight="1">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row>
    <row r="934" ht="13.5" customHeight="1">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row>
    <row r="935" ht="13.5" customHeight="1">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row>
    <row r="936" ht="13.5" customHeight="1">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row>
    <row r="937" ht="13.5" customHeight="1">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row>
    <row r="938" ht="13.5" customHeight="1">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row>
    <row r="939" ht="13.5" customHeight="1">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row>
    <row r="940" ht="13.5" customHeight="1">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row>
    <row r="941" ht="13.5" customHeight="1">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row>
    <row r="942" ht="13.5" customHeight="1">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row>
    <row r="943" ht="13.5" customHeight="1">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row>
    <row r="944" ht="13.5" customHeight="1">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row>
    <row r="945" ht="13.5" customHeight="1">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row>
    <row r="946" ht="13.5" customHeight="1">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row>
    <row r="947" ht="13.5" customHeight="1">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row>
    <row r="948" ht="13.5" customHeight="1">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row>
    <row r="949" ht="13.5" customHeight="1">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row>
    <row r="950" ht="13.5" customHeight="1">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row>
    <row r="951" ht="13.5" customHeight="1">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row>
    <row r="952" ht="13.5" customHeight="1">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row>
    <row r="953" ht="13.5" customHeight="1">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row>
    <row r="954" ht="13.5" customHeight="1">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row>
    <row r="955" ht="13.5" customHeight="1">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row>
    <row r="956" ht="13.5" customHeight="1">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row>
    <row r="957" ht="13.5" customHeight="1">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row>
    <row r="958" ht="13.5" customHeight="1">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row>
    <row r="959" ht="13.5" customHeight="1">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row>
    <row r="960" ht="13.5" customHeight="1">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row>
    <row r="961" ht="13.5" customHeight="1">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row>
    <row r="962" ht="13.5" customHeight="1">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row>
    <row r="963" ht="13.5" customHeight="1">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row>
    <row r="964" ht="13.5" customHeight="1">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row>
    <row r="965" ht="13.5" customHeight="1">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row>
    <row r="966" ht="13.5" customHeight="1">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row>
    <row r="967" ht="13.5" customHeight="1">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row>
    <row r="968" ht="13.5" customHeight="1">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row>
    <row r="969" ht="13.5" customHeight="1">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row>
    <row r="970" ht="13.5" customHeight="1">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row>
    <row r="971" ht="13.5" customHeight="1">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row>
    <row r="972" ht="13.5" customHeight="1">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row>
    <row r="973" ht="13.5" customHeight="1">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row>
    <row r="974" ht="13.5" customHeight="1">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row>
    <row r="975" ht="13.5" customHeight="1">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row>
    <row r="976" ht="13.5" customHeight="1">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row>
    <row r="977" ht="13.5" customHeight="1">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row>
    <row r="978" ht="13.5" customHeight="1">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row>
    <row r="979" ht="13.5" customHeight="1">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row>
    <row r="980" ht="13.5" customHeight="1">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row>
    <row r="981" ht="13.5" customHeight="1">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row>
    <row r="982" ht="13.5" customHeight="1">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row>
    <row r="983" ht="13.5" customHeight="1">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row>
    <row r="984" ht="13.5" customHeight="1">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row>
    <row r="985" ht="13.5" customHeight="1">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row>
    <row r="986" ht="13.5" customHeight="1">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row>
    <row r="987" ht="13.5" customHeight="1">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row>
    <row r="988" ht="13.5" customHeight="1">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row>
    <row r="989" ht="13.5" customHeight="1">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row>
    <row r="990" ht="13.5" customHeight="1">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row>
    <row r="991" ht="13.5" customHeight="1">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row>
    <row r="992" ht="13.5" customHeight="1">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row>
    <row r="993" ht="13.5" customHeight="1">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row>
    <row r="994" ht="13.5" customHeight="1">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row>
    <row r="995" ht="13.5" customHeight="1">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row>
    <row r="996" ht="13.5" customHeight="1">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row>
    <row r="997" ht="13.5" customHeight="1">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row>
    <row r="998" ht="13.5" customHeight="1">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row>
    <row r="999" ht="13.5" customHeight="1">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row>
    <row r="1000" ht="13.5" customHeight="1">
      <c r="A1000" s="31"/>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row>
  </sheetData>
  <mergeCells count="118">
    <mergeCell ref="A241:A244"/>
    <mergeCell ref="A252:A255"/>
    <mergeCell ref="A263:A266"/>
    <mergeCell ref="A274:A277"/>
    <mergeCell ref="A286:A289"/>
    <mergeCell ref="A306:A309"/>
    <mergeCell ref="A318:A321"/>
    <mergeCell ref="A340:A343"/>
    <mergeCell ref="A352:A355"/>
    <mergeCell ref="A366:A369"/>
    <mergeCell ref="A377:A380"/>
    <mergeCell ref="A388:A391"/>
    <mergeCell ref="A399:A402"/>
    <mergeCell ref="A410:A413"/>
    <mergeCell ref="A421:A424"/>
    <mergeCell ref="A434:A437"/>
    <mergeCell ref="A446:A449"/>
    <mergeCell ref="A458:A461"/>
    <mergeCell ref="A475:A478"/>
    <mergeCell ref="A487:A490"/>
    <mergeCell ref="A498:A501"/>
    <mergeCell ref="A510:A513"/>
    <mergeCell ref="A524:A527"/>
    <mergeCell ref="A535:A538"/>
    <mergeCell ref="A546:A549"/>
    <mergeCell ref="A557:A560"/>
    <mergeCell ref="A568:A571"/>
    <mergeCell ref="A579:A582"/>
    <mergeCell ref="A669:A672"/>
    <mergeCell ref="A680:A683"/>
    <mergeCell ref="A691:A694"/>
    <mergeCell ref="A702:A705"/>
    <mergeCell ref="A733:A736"/>
    <mergeCell ref="A745:A748"/>
    <mergeCell ref="A590:A593"/>
    <mergeCell ref="A602:A605"/>
    <mergeCell ref="A613:A616"/>
    <mergeCell ref="A624:A627"/>
    <mergeCell ref="A635:A638"/>
    <mergeCell ref="A647:A650"/>
    <mergeCell ref="A658:A661"/>
    <mergeCell ref="D252:D255"/>
    <mergeCell ref="D263:D266"/>
    <mergeCell ref="D274:D277"/>
    <mergeCell ref="D286:D289"/>
    <mergeCell ref="D306:D309"/>
    <mergeCell ref="D318:D321"/>
    <mergeCell ref="D340:D343"/>
    <mergeCell ref="D352:D355"/>
    <mergeCell ref="D366:D369"/>
    <mergeCell ref="D377:D380"/>
    <mergeCell ref="D388:D391"/>
    <mergeCell ref="D399:D402"/>
    <mergeCell ref="D410:D413"/>
    <mergeCell ref="D421:D424"/>
    <mergeCell ref="D458:D461"/>
    <mergeCell ref="D475:D478"/>
    <mergeCell ref="D487:D490"/>
    <mergeCell ref="D498:D501"/>
    <mergeCell ref="D510:D513"/>
    <mergeCell ref="D524:D527"/>
    <mergeCell ref="D535:D538"/>
    <mergeCell ref="D546:D549"/>
    <mergeCell ref="D557:D560"/>
    <mergeCell ref="D568:D571"/>
    <mergeCell ref="D579:D582"/>
    <mergeCell ref="D590:D593"/>
    <mergeCell ref="D602:D605"/>
    <mergeCell ref="D613:D616"/>
    <mergeCell ref="D702:D705"/>
    <mergeCell ref="D733:D736"/>
    <mergeCell ref="D745:D748"/>
    <mergeCell ref="D624:D627"/>
    <mergeCell ref="D635:D638"/>
    <mergeCell ref="D647:D650"/>
    <mergeCell ref="D658:D661"/>
    <mergeCell ref="D669:D672"/>
    <mergeCell ref="D680:D683"/>
    <mergeCell ref="D691:D694"/>
    <mergeCell ref="A1:A4"/>
    <mergeCell ref="B2:E2"/>
    <mergeCell ref="B3:E3"/>
    <mergeCell ref="E6:F6"/>
    <mergeCell ref="E7:F7"/>
    <mergeCell ref="E8:F8"/>
    <mergeCell ref="E9:F9"/>
    <mergeCell ref="E10:F10"/>
    <mergeCell ref="E11:F11"/>
    <mergeCell ref="E12:F12"/>
    <mergeCell ref="A17:A20"/>
    <mergeCell ref="D17:D20"/>
    <mergeCell ref="A68:A71"/>
    <mergeCell ref="D68:D71"/>
    <mergeCell ref="A80:A83"/>
    <mergeCell ref="D80:D83"/>
    <mergeCell ref="A119:A122"/>
    <mergeCell ref="D119:D122"/>
    <mergeCell ref="A131:A134"/>
    <mergeCell ref="D131:D134"/>
    <mergeCell ref="D147:D150"/>
    <mergeCell ref="D186:D189"/>
    <mergeCell ref="D197:D200"/>
    <mergeCell ref="A147:A150"/>
    <mergeCell ref="A163:A166"/>
    <mergeCell ref="D163:D166"/>
    <mergeCell ref="A174:A177"/>
    <mergeCell ref="D174:D177"/>
    <mergeCell ref="A186:A189"/>
    <mergeCell ref="A197:A200"/>
    <mergeCell ref="A208:A211"/>
    <mergeCell ref="D208:D211"/>
    <mergeCell ref="A219:A222"/>
    <mergeCell ref="D219:D222"/>
    <mergeCell ref="A230:A233"/>
    <mergeCell ref="D230:D233"/>
    <mergeCell ref="D241:D244"/>
    <mergeCell ref="D434:D437"/>
    <mergeCell ref="D446:D449"/>
  </mergeCells>
  <dataValidations>
    <dataValidation type="date" operator="lessThanOrEqual" allowBlank="1" showErrorMessage="1" sqref="C17">
      <formula1>=C19</formula1>
    </dataValidation>
    <dataValidation type="date" operator="greaterThanOrEqual" allowBlank="1" showErrorMessage="1" sqref="C570">
      <formula1>=C568</formula1>
    </dataValidation>
    <dataValidation type="list" allowBlank="1" showErrorMessage="1" sqref="F18 F69 F81 F120 F132 F148 F164 F175 F187 F198 F209 F220 F231 F242 F253 F264 F275 F287 F307 F319 F341 F353 F367 F378 F389 F400 F411 F422 F435 F447 F459 F476 F488 F499 F511 F525 F536 F547 F558 F569 F580 F591 F603 F614 F625 F636 F648 F659 F670 F681 F692 F703 F734 F746">
      <formula1>IF(INDIRECT(ADDRESS(ROW()+1,COLUMN(),4))="",OFFSET(#REF!,MATCH(INDIRECT(ADDRESS(ROW()-1,COLUMN(),4)),#REF!,0)-1,1,COUNTIF(#REF!,INDIRECT(ADDRESS(ROW()-1,COLUMN(),4))),1),INDEX(#REF!,MATCH(INDIRECT(ADDRESS(ROW()+1,COLUMN(),4)),#REF!,0)))</formula1>
    </dataValidation>
    <dataValidation type="date" operator="lessThanOrEqual" allowBlank="1" showErrorMessage="1" sqref="C745">
      <formula1>=C747</formula1>
    </dataValidation>
    <dataValidation type="date" operator="greaterThanOrEqual" allowBlank="1" showErrorMessage="1" sqref="C559">
      <formula1>=C557</formula1>
    </dataValidation>
    <dataValidation type="date" operator="greaterThanOrEqual" allowBlank="1" showErrorMessage="1" sqref="C82">
      <formula1>=C80</formula1>
    </dataValidation>
    <dataValidation type="date" operator="greaterThanOrEqual" allowBlank="1" showErrorMessage="1" sqref="C548">
      <formula1>=C546</formula1>
    </dataValidation>
    <dataValidation type="date" operator="greaterThanOrEqual" allowBlank="1" showErrorMessage="1" sqref="C637">
      <formula1>=C635</formula1>
    </dataValidation>
    <dataValidation type="date" operator="greaterThanOrEqual" allowBlank="1" showErrorMessage="1" sqref="C537">
      <formula1>=C535</formula1>
    </dataValidation>
    <dataValidation type="date" operator="lessThanOrEqual" allowBlank="1" showErrorMessage="1" sqref="C557">
      <formula1>=C559</formula1>
    </dataValidation>
    <dataValidation type="date" operator="greaterThanOrEqual" allowBlank="1" showErrorMessage="1" sqref="C747">
      <formula1>=C745</formula1>
    </dataValidation>
    <dataValidation type="date" operator="greaterThanOrEqual" allowBlank="1" showErrorMessage="1" sqref="C626">
      <formula1>=C624</formula1>
    </dataValidation>
    <dataValidation type="date" operator="greaterThanOrEqual" allowBlank="1" showErrorMessage="1" sqref="C704">
      <formula1>=C702</formula1>
    </dataValidation>
    <dataValidation type="date" operator="greaterThanOrEqual" allowBlank="1" showErrorMessage="1" sqref="C649">
      <formula1>=C647</formula1>
    </dataValidation>
    <dataValidation type="date" operator="lessThanOrEqual" allowBlank="1" showErrorMessage="1" sqref="C635">
      <formula1>=C637</formula1>
    </dataValidation>
    <dataValidation type="date" operator="greaterThanOrEqual" allowBlank="1" showErrorMessage="1" sqref="C342">
      <formula1>=C340</formula1>
    </dataValidation>
    <dataValidation type="date" operator="greaterThanOrEqual" allowBlank="1" showErrorMessage="1" sqref="C460">
      <formula1>=C458</formula1>
    </dataValidation>
    <dataValidation type="date" operator="lessThanOrEqual" allowBlank="1" showErrorMessage="1" sqref="C510">
      <formula1>=C512</formula1>
    </dataValidation>
    <dataValidation type="date" operator="greaterThanOrEqual" allowBlank="1" showErrorMessage="1" sqref="C243">
      <formula1>=C241</formula1>
    </dataValidation>
    <dataValidation type="date" operator="lessThanOrEqual" allowBlank="1" showErrorMessage="1" sqref="C186">
      <formula1>=C188</formula1>
    </dataValidation>
    <dataValidation type="decimal" operator="greaterThan" allowBlank="1" showErrorMessage="1" sqref="A23:A63 D23:E63 A74:A75 D74:E75 A86:A114 D86:E114 A125:A126 D125:E126 A137:A142 D137:E142 A153:A158 D153:E158 A169 D169:E169 A180:A181 D180:E181 A192 D192:E192 A203 D203:E203 A214 D214:E214 A225 D225:E225 A236 D236:E236 A247 D247:E247 A258 D258:E258 A269 D269:E269 A280:A281 D280:E281 A292:A301 D292:E301 A312:A313 D312:E313 A324:A335 D324:E335 A346:A347 D346:E347 A358:A361 D358:E361 A372 D372:E372 A383 D383:E383 A394 D394:E394 A405 D405:E405 A416 D416:E416 A427:A429 D427:E429 A440:A441 D440:E441 A452:A453 D452:E453 A464:A470 D464:E470 A481:A482 D481:E482 A493 D493:E493 A504:A505 D504:E505 A516:A519 D516:E519 A530 D530:E530 A541 D541:E541 A552 D552:E552 A563 D563:E563 A574 D574:E574 A585 D585:E585 A596:A597 D596:E597 A608 D608:E608 A619 D619:E619 A630 D630:E630 A641:A642 D641:E642 A653 D653:E653 A664 D664:E664 A675 D675:E675 A686 D686:E686 A697 D697:E697 A708:A728 D708:E728 A739:A740 D739:E740 A751:A754 D751:E754">
      <formula1>0.0</formula1>
    </dataValidation>
    <dataValidation type="date" operator="greaterThanOrEqual" allowBlank="1" showErrorMessage="1" sqref="C581">
      <formula1>=C579</formula1>
    </dataValidation>
    <dataValidation type="date" operator="lessThanOrEqual" allowBlank="1" showErrorMessage="1" sqref="C208">
      <formula1>=C210</formula1>
    </dataValidation>
    <dataValidation type="date" operator="greaterThanOrEqual" allowBlank="1" showErrorMessage="1" sqref="C232">
      <formula1>=C230</formula1>
    </dataValidation>
    <dataValidation type="date" operator="greaterThanOrEqual" allowBlank="1" showErrorMessage="1" sqref="C308">
      <formula1>=C306</formula1>
    </dataValidation>
    <dataValidation type="date" operator="greaterThanOrEqual" allowBlank="1" showErrorMessage="1" sqref="C436">
      <formula1>=C434</formula1>
    </dataValidation>
    <dataValidation type="date" operator="greaterThanOrEqual" allowBlank="1" showErrorMessage="1" sqref="C265">
      <formula1>=C263</formula1>
    </dataValidation>
    <dataValidation type="date" operator="lessThanOrEqual" allowBlank="1" showErrorMessage="1" sqref="C535">
      <formula1>=C537</formula1>
    </dataValidation>
    <dataValidation type="date" operator="lessThanOrEqual" allowBlank="1" showErrorMessage="1" sqref="C80">
      <formula1>=C82</formula1>
    </dataValidation>
    <dataValidation type="date" operator="greaterThanOrEqual" allowBlank="1" showErrorMessage="1" sqref="C401">
      <formula1>=C399</formula1>
    </dataValidation>
    <dataValidation type="date" operator="lessThanOrEqual" allowBlank="1" showErrorMessage="1" sqref="C624">
      <formula1>=C626</formula1>
    </dataValidation>
    <dataValidation type="list" allowBlank="1" showErrorMessage="1" sqref="F17 F68 F80 F119 F131 F147 F163 F174 F186 F197 F208 F219 F230 F241 F252 F263 F274 F286 F306 F318 F340 F352 F366 F377 F388 F399 F410 F421 F434 F446 F458 F475 F487 F498 F510 F524 F535 F546 F557 F568 F579 F590 F602 F613 F624 F635 F647 F658 F669 F680 F691 F702 F733 F745">
      <formula1>IF(INDIRECT(ADDRESS(ROW()+1,COLUMN(),4))="",#REF!,INDEX(#REF!,MATCH(INDIRECT(ADDRESS(ROW()+1,COLUMN(),4)),#REF!,0)))</formula1>
    </dataValidation>
    <dataValidation type="date" operator="lessThanOrEqual" allowBlank="1" showErrorMessage="1" sqref="C487">
      <formula1>=C489</formula1>
    </dataValidation>
    <dataValidation type="date" operator="lessThanOrEqual" allowBlank="1" showErrorMessage="1" sqref="C647">
      <formula1>=C649</formula1>
    </dataValidation>
    <dataValidation type="date" operator="greaterThanOrEqual" allowBlank="1" showErrorMessage="1" sqref="C176">
      <formula1>=C174</formula1>
    </dataValidation>
    <dataValidation type="date" operator="greaterThanOrEqual" allowBlank="1" showErrorMessage="1" sqref="C735">
      <formula1>=C733</formula1>
    </dataValidation>
    <dataValidation type="decimal" allowBlank="1" showErrorMessage="1" sqref="E11">
      <formula1>1900.0</formula1>
      <formula2>3000.0</formula2>
    </dataValidation>
    <dataValidation type="date" operator="lessThanOrEqual" allowBlank="1" showErrorMessage="1" sqref="C410">
      <formula1>=C412</formula1>
    </dataValidation>
    <dataValidation type="date" operator="lessThanOrEqual" allowBlank="1" showErrorMessage="1" sqref="C388">
      <formula1>=C390</formula1>
    </dataValidation>
    <dataValidation type="date" operator="lessThanOrEqual" allowBlank="1" showErrorMessage="1" sqref="C263">
      <formula1>=C265</formula1>
    </dataValidation>
    <dataValidation type="date" operator="lessThanOrEqual" allowBlank="1" showErrorMessage="1" sqref="C352">
      <formula1>=C354</formula1>
    </dataValidation>
    <dataValidation type="date" operator="greaterThanOrEqual" allowBlank="1" showErrorMessage="1" sqref="C671">
      <formula1>=C669</formula1>
    </dataValidation>
    <dataValidation type="date" operator="greaterThanOrEqual" allowBlank="1" showErrorMessage="1" sqref="C379">
      <formula1>=C377</formula1>
    </dataValidation>
    <dataValidation type="date" operator="greaterThanOrEqual" allowBlank="1" showErrorMessage="1" sqref="C682">
      <formula1>=C680</formula1>
    </dataValidation>
    <dataValidation type="date" operator="greaterThanOrEqual" allowBlank="1" showErrorMessage="1" sqref="C354">
      <formula1>=C352</formula1>
    </dataValidation>
    <dataValidation type="date" operator="lessThanOrEqual" allowBlank="1" showErrorMessage="1" sqref="C613">
      <formula1>=C615</formula1>
    </dataValidation>
    <dataValidation type="date" operator="greaterThanOrEqual" allowBlank="1" showErrorMessage="1" sqref="C448">
      <formula1>=C446</formula1>
    </dataValidation>
    <dataValidation type="date" operator="lessThanOrEqual" allowBlank="1" showErrorMessage="1" sqref="C147">
      <formula1>=C149</formula1>
    </dataValidation>
    <dataValidation type="date" operator="greaterThanOrEqual" allowBlank="1" showErrorMessage="1" sqref="C604">
      <formula1>=C602</formula1>
    </dataValidation>
    <dataValidation type="date" operator="greaterThanOrEqual" allowBlank="1" showErrorMessage="1" sqref="C149">
      <formula1>=C147</formula1>
    </dataValidation>
    <dataValidation type="list" allowBlank="1" showErrorMessage="1" sqref="F20 F71 F83 F122 F134 F150 F166 F177 F189 F200 F211 F222 F233 F244 F255 F266 F277 F289 F309 F321 F343 F355 F369 F380 F391 F402 F413 F424 F437 F449 F461 F478 F490 F501 F513 F527 F538 F549 F560 F571 F582 F593 F605 F616 F627 F638 F650 F661 F672 F683 F694 F705 F736 F748">
      <formula1>OFFSET(#REF!,MATCH(INDIRECT(ADDRESS(ROW()-1,COLUMN(),4)),#REF!,0)-1,1,COUNTIF(#REF!,INDIRECT(ADDRESS(ROW()-1,COLUMN(),4))),1)</formula1>
    </dataValidation>
    <dataValidation type="date" operator="greaterThan" allowBlank="1" showErrorMessage="1" sqref="E12">
      <formula1>36526.0</formula1>
    </dataValidation>
    <dataValidation type="date" operator="lessThanOrEqual" allowBlank="1" showErrorMessage="1" sqref="C421">
      <formula1>=C423</formula1>
    </dataValidation>
    <dataValidation type="date" operator="lessThanOrEqual" allowBlank="1" showErrorMessage="1" sqref="C274">
      <formula1>=C276</formula1>
    </dataValidation>
    <dataValidation type="list" allowBlank="1" showErrorMessage="1" sqref="C16 C67 C79 C118 C130 C146 C162 C173 C185 C196 C207 C218 C229 C240 C251 C262 C273 C285 C305 C317 C339 C351 C365 C376 C387 C398 C409 C420 C433 C445 C457 C474 C486 C497 C509 C523 C534 C545 C556 C567 C578 C589 C601 C612 C623 C634 C646 C657 C668 C679 C690 C701 C732 C744">
      <formula1>'Informacion '!$S$3:$S$7</formula1>
    </dataValidation>
    <dataValidation type="date" operator="lessThanOrEqual" allowBlank="1" showErrorMessage="1" sqref="C434">
      <formula1>=C436</formula1>
    </dataValidation>
    <dataValidation type="date" operator="lessThanOrEqual" allowBlank="1" showErrorMessage="1" sqref="C546">
      <formula1>=C548</formula1>
    </dataValidation>
    <dataValidation type="date" operator="greaterThanOrEqual" allowBlank="1" showErrorMessage="1" sqref="C70">
      <formula1>=C68</formula1>
    </dataValidation>
    <dataValidation type="date" operator="greaterThanOrEqual" allowBlank="1" showErrorMessage="1" sqref="C188">
      <formula1>=C186</formula1>
    </dataValidation>
    <dataValidation type="date" operator="lessThanOrEqual" allowBlank="1" showErrorMessage="1" sqref="C68">
      <formula1>=C70</formula1>
    </dataValidation>
    <dataValidation type="date" operator="lessThanOrEqual" allowBlank="1" showErrorMessage="1" sqref="C119">
      <formula1>=C121</formula1>
    </dataValidation>
    <dataValidation type="date" operator="lessThanOrEqual" allowBlank="1" showErrorMessage="1" sqref="C131">
      <formula1>=C133</formula1>
    </dataValidation>
    <dataValidation type="date" operator="lessThanOrEqual" allowBlank="1" showErrorMessage="1" sqref="C340">
      <formula1>=C342</formula1>
    </dataValidation>
    <dataValidation type="date" operator="greaterThanOrEqual" allowBlank="1" showErrorMessage="1" sqref="C221">
      <formula1>=C219</formula1>
    </dataValidation>
    <dataValidation type="date" operator="greaterThanOrEqual" allowBlank="1" showErrorMessage="1" sqref="C477">
      <formula1>=C475</formula1>
    </dataValidation>
    <dataValidation type="date" operator="lessThanOrEqual" allowBlank="1" showErrorMessage="1" sqref="C602">
      <formula1>=C604</formula1>
    </dataValidation>
    <dataValidation type="date" operator="lessThanOrEqual" allowBlank="1" showErrorMessage="1" sqref="C669">
      <formula1>=C671</formula1>
    </dataValidation>
    <dataValidation type="date" operator="greaterThanOrEqual" allowBlank="1" showErrorMessage="1" sqref="C210">
      <formula1>=C208</formula1>
    </dataValidation>
    <dataValidation type="list" allowBlank="1" showErrorMessage="1" sqref="F19 F70 F82 F121 F133 F149 F165 F176 F188 F199 F210 F221 F232 F243 F254 F265 F276 F288 F308 F320 F342 F354 F368 F379 F390 F401 F412 F423 F436 F448 F460 F477 F489 F500 F512 F526 F537 F548 F559 F570 F581 F592 F604 F615 F626 F637 F649 F660 F671 F682 F693 F704 F735 F747">
      <formula1>IF(INDIRECT(ADDRESS(ROW()+1,COLUMN(),4))="",OFFSET(#REF!,MATCH(INDIRECT(ADDRESS(ROW()-1,COLUMN(),4)),#REF!,0)-1,1,COUNTIF(#REF!,INDIRECT(ADDRESS(ROW()-1,COLUMN(),4))),1),INDEX(#REF!,MATCH(INDIRECT(ADDRESS(ROW()+1,COLUMN(),4)),#REF!,0)))</formula1>
    </dataValidation>
    <dataValidation type="date" operator="greaterThanOrEqual" allowBlank="1" showErrorMessage="1" sqref="C121">
      <formula1>=C119</formula1>
    </dataValidation>
    <dataValidation type="date" operator="greaterThanOrEqual" allowBlank="1" showErrorMessage="1" sqref="C412">
      <formula1>=C410</formula1>
    </dataValidation>
    <dataValidation type="date" operator="lessThanOrEqual" allowBlank="1" showErrorMessage="1" sqref="C241">
      <formula1>=C243</formula1>
    </dataValidation>
    <dataValidation type="date" operator="greaterThanOrEqual" allowBlank="1" showErrorMessage="1" sqref="C320">
      <formula1>=C318</formula1>
    </dataValidation>
    <dataValidation type="date" operator="lessThanOrEqual" allowBlank="1" showErrorMessage="1" sqref="C366">
      <formula1>=C368</formula1>
    </dataValidation>
    <dataValidation type="date" operator="greaterThanOrEqual" allowBlank="1" showErrorMessage="1" sqref="C423">
      <formula1>=C421</formula1>
    </dataValidation>
    <dataValidation type="date" operator="greaterThanOrEqual" allowBlank="1" showErrorMessage="1" sqref="C512">
      <formula1>=C510</formula1>
    </dataValidation>
    <dataValidation type="date" operator="lessThanOrEqual" allowBlank="1" showErrorMessage="1" sqref="C702">
      <formula1>=C704</formula1>
    </dataValidation>
    <dataValidation type="date" operator="lessThanOrEqual" allowBlank="1" showErrorMessage="1" sqref="C658">
      <formula1>=C660</formula1>
    </dataValidation>
    <dataValidation type="date" operator="lessThanOrEqual" allowBlank="1" showErrorMessage="1" sqref="C524">
      <formula1>=C526</formula1>
    </dataValidation>
    <dataValidation type="date" operator="greaterThanOrEqual" allowBlank="1" showErrorMessage="1" sqref="C489">
      <formula1>=C487</formula1>
    </dataValidation>
    <dataValidation type="date" operator="lessThanOrEqual" allowBlank="1" showErrorMessage="1" sqref="C733">
      <formula1>=C735</formula1>
    </dataValidation>
    <dataValidation type="date" operator="greaterThanOrEqual" allowBlank="1" showErrorMessage="1" sqref="C500">
      <formula1>=C498</formula1>
    </dataValidation>
    <dataValidation type="date" operator="greaterThanOrEqual" allowBlank="1" showErrorMessage="1" sqref="C368">
      <formula1>=C366</formula1>
    </dataValidation>
    <dataValidation type="date" operator="lessThanOrEqual" allowBlank="1" showErrorMessage="1" sqref="C498">
      <formula1>=C500</formula1>
    </dataValidation>
    <dataValidation type="date" operator="lessThanOrEqual" allowBlank="1" showErrorMessage="1" sqref="C590">
      <formula1>=C592</formula1>
    </dataValidation>
    <dataValidation type="date" operator="lessThanOrEqual" allowBlank="1" showErrorMessage="1" sqref="C252">
      <formula1>=C254</formula1>
    </dataValidation>
    <dataValidation type="date" operator="lessThanOrEqual" allowBlank="1" showErrorMessage="1" sqref="C475">
      <formula1>=C477</formula1>
    </dataValidation>
    <dataValidation type="list" allowBlank="1" showErrorMessage="1" sqref="C23:C63 C74:C75 C86:C114 C125:C126 C137:C142 C153:C158 C169 C180:C181 C192 C203 C214 C225 C236 C247 C258 C269 C280:C281 C292:C301 C312:C313 C324:C335 C346:C347 C358:C361 C372 C383 C394 C405 C416 C427:C429 C440:C441 C452:C453 C464:C470 C481:C482 C493 C504:C505 C516:C519 C530 C541 C552 C563 C574 C585 C596:C597 C608 C619 C630 C641:C642 C653 C664 C675 C686 C697 C708:C728 C739:C740 C751:C754">
      <formula1>#REF!</formula1>
    </dataValidation>
    <dataValidation type="date" operator="greaterThanOrEqual" allowBlank="1" showErrorMessage="1" sqref="C592">
      <formula1>=C590</formula1>
    </dataValidation>
    <dataValidation type="date" operator="lessThanOrEqual" allowBlank="1" showErrorMessage="1" sqref="C377">
      <formula1>=C379</formula1>
    </dataValidation>
    <dataValidation type="date" operator="lessThanOrEqual" allowBlank="1" showErrorMessage="1" sqref="C399">
      <formula1>=C401</formula1>
    </dataValidation>
    <dataValidation type="date" operator="greaterThanOrEqual" allowBlank="1" showErrorMessage="1" sqref="C133">
      <formula1>=C131</formula1>
    </dataValidation>
    <dataValidation type="date" operator="greaterThanOrEqual" allowBlank="1" showErrorMessage="1" sqref="C165">
      <formula1>=C163</formula1>
    </dataValidation>
    <dataValidation type="date" operator="lessThanOrEqual" allowBlank="1" showErrorMessage="1" sqref="C691">
      <formula1>=C693</formula1>
    </dataValidation>
    <dataValidation type="date" operator="greaterThanOrEqual" allowBlank="1" showErrorMessage="1" sqref="C254">
      <formula1>=C252</formula1>
    </dataValidation>
    <dataValidation type="date" operator="lessThanOrEqual" allowBlank="1" showErrorMessage="1" sqref="C318">
      <formula1>=C320</formula1>
    </dataValidation>
    <dataValidation type="date" operator="lessThanOrEqual" allowBlank="1" showErrorMessage="1" sqref="C579">
      <formula1>=C581</formula1>
    </dataValidation>
    <dataValidation type="date" operator="lessThanOrEqual" allowBlank="1" showErrorMessage="1" sqref="C174">
      <formula1>=C176</formula1>
    </dataValidation>
    <dataValidation type="date" operator="lessThanOrEqual" allowBlank="1" showErrorMessage="1" sqref="C446">
      <formula1>=C448</formula1>
    </dataValidation>
    <dataValidation type="date" operator="lessThanOrEqual" allowBlank="1" showErrorMessage="1" sqref="C197">
      <formula1>=C199</formula1>
    </dataValidation>
    <dataValidation type="date" operator="lessThanOrEqual" allowBlank="1" showErrorMessage="1" sqref="C286">
      <formula1>=C288</formula1>
    </dataValidation>
    <dataValidation type="list" allowBlank="1" showErrorMessage="1" sqref="E16 E67 E79 E118 E130 E146 E162 E173 E185 E196 E207 E218 E229 E240 E251 E262 E273 E285 E305 E317 E339 E351 E365 E376 E387 E398 E409 E420 E433 E445 E457 E474 E486 E497 E509 E523 E534 E545 E556 E567 E578 E589 E601 E612 E623 E634 E646 E657 E668 E679 E690 E701 E732 E744">
      <formula1>'Informacion '!$N$3:$N$5</formula1>
    </dataValidation>
    <dataValidation type="date" operator="greaterThanOrEqual" allowBlank="1" showErrorMessage="1" sqref="C276">
      <formula1>=C274</formula1>
    </dataValidation>
    <dataValidation type="date" operator="greaterThanOrEqual" allowBlank="1" showErrorMessage="1" sqref="C660">
      <formula1>=C658</formula1>
    </dataValidation>
    <dataValidation type="date" operator="lessThanOrEqual" allowBlank="1" showErrorMessage="1" sqref="C219">
      <formula1>=C221</formula1>
    </dataValidation>
    <dataValidation type="date" operator="greaterThanOrEqual" allowBlank="1" showErrorMessage="1" sqref="C390">
      <formula1>=C388</formula1>
    </dataValidation>
    <dataValidation type="date" operator="lessThanOrEqual" allowBlank="1" showErrorMessage="1" sqref="C458">
      <formula1>=C460</formula1>
    </dataValidation>
    <dataValidation type="date" operator="greaterThanOrEqual" allowBlank="1" showErrorMessage="1" sqref="C693">
      <formula1>=C691</formula1>
    </dataValidation>
    <dataValidation type="date" operator="greaterThanOrEqual" allowBlank="1" showErrorMessage="1" sqref="C526">
      <formula1>=C524</formula1>
    </dataValidation>
    <dataValidation type="date" operator="greaterThanOrEqual" allowBlank="1" showErrorMessage="1" sqref="C615">
      <formula1>=C613</formula1>
    </dataValidation>
    <dataValidation type="date" operator="lessThanOrEqual" allowBlank="1" showErrorMessage="1" sqref="C680">
      <formula1>=C682</formula1>
    </dataValidation>
    <dataValidation type="date" operator="lessThanOrEqual" allowBlank="1" showErrorMessage="1" sqref="C306">
      <formula1>=C308</formula1>
    </dataValidation>
    <dataValidation type="date" operator="greaterThanOrEqual" allowBlank="1" showErrorMessage="1" sqref="C19">
      <formula1>=C17</formula1>
    </dataValidation>
    <dataValidation type="date" operator="lessThanOrEqual" allowBlank="1" showErrorMessage="1" sqref="C230">
      <formula1>=C232</formula1>
    </dataValidation>
    <dataValidation type="list" allowBlank="1" showErrorMessage="1" sqref="D16 D67 D79 D118 D130 D146 D162 D173 D185 D196 D207 D218 D229 D240 D251 D262 D273 D285 D305 D317 D339 D351 D365 D376 D387 D398 D409 D420 D433 D445 D457 D474 D486 D497 D509 D523 D534 D545 D556 D567 D578 D589 D601 D612 D623 D634 D646 D657 D668 D679 D690 D701 D732 D744">
      <formula1>'Informacion '!$L$3:$L$17</formula1>
    </dataValidation>
    <dataValidation type="date" operator="greaterThanOrEqual" allowBlank="1" showErrorMessage="1" sqref="C199">
      <formula1>=C197</formula1>
    </dataValidation>
    <dataValidation type="date" operator="lessThanOrEqual" allowBlank="1" showErrorMessage="1" sqref="C568">
      <formula1>=C570</formula1>
    </dataValidation>
    <dataValidation type="date" operator="lessThanOrEqual" allowBlank="1" showErrorMessage="1" sqref="C163">
      <formula1>=C165</formula1>
    </dataValidation>
    <dataValidation type="date" operator="greaterThanOrEqual" allowBlank="1" showErrorMessage="1" sqref="C288">
      <formula1>=C286</formula1>
    </dataValidation>
  </dataValidations>
  <printOptions/>
  <pageMargins bottom="0.75" footer="0.0" header="0.0" left="0.7" right="0.7" top="0.75"/>
  <pageSetup scale="31" orientation="portrait"/>
  <drawing r:id="rId1"/>
</worksheet>
</file>